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glasgows\Desktop\SummerSalaryCalculationInfo\"/>
    </mc:Choice>
  </mc:AlternateContent>
  <xr:revisionPtr revIDLastSave="0" documentId="13_ncr:1_{FDE6CF62-9B08-4544-B814-7BBF0B06D2D4}" xr6:coauthVersionLast="47" xr6:coauthVersionMax="47" xr10:uidLastSave="{00000000-0000-0000-0000-000000000000}"/>
  <bookViews>
    <workbookView xWindow="4620" yWindow="170" windowWidth="11790" windowHeight="9970" firstSheet="1" activeTab="1" xr2:uid="{7C85078B-A1A5-426D-B694-4786C9ED950C}"/>
  </bookViews>
  <sheets>
    <sheet name="Grad" sheetId="1" state="hidden" r:id="rId1"/>
    <sheet name="Summer Salary Calculator" sheetId="2" r:id="rId2"/>
    <sheet name="Ex 1 Max Pay - Max Daily Rate" sheetId="3" r:id="rId3"/>
    <sheet name="Ex 2 Pay 1 Month-Max Daily Rate" sheetId="4" r:id="rId4"/>
    <sheet name="Ex 3 Less Than Max Work Days" sheetId="5" r:id="rId5"/>
    <sheet name="Ex 4 Less Than Max Daily Rate" sheetId="6" r:id="rId6"/>
    <sheet name="Ex 5 Cost Shar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7" l="1"/>
  <c r="H19" i="6"/>
  <c r="H19" i="5"/>
  <c r="H19" i="4"/>
  <c r="H19" i="3"/>
  <c r="H19" i="2"/>
  <c r="O17" i="7"/>
  <c r="J17" i="7"/>
  <c r="E17" i="7"/>
  <c r="D17" i="7"/>
  <c r="O16" i="7"/>
  <c r="J16" i="7"/>
  <c r="G16" i="7"/>
  <c r="E16" i="7"/>
  <c r="D16" i="7"/>
  <c r="O15" i="7"/>
  <c r="J15" i="7"/>
  <c r="G15" i="7"/>
  <c r="E15" i="7"/>
  <c r="D15" i="7"/>
  <c r="O14" i="7"/>
  <c r="E14" i="7"/>
  <c r="D14" i="7"/>
  <c r="H8" i="7"/>
  <c r="F17" i="7" s="1"/>
  <c r="H7" i="7"/>
  <c r="H21" i="7" s="1"/>
  <c r="O17" i="6"/>
  <c r="L17" i="6"/>
  <c r="K17" i="6"/>
  <c r="J17" i="6"/>
  <c r="E17" i="6"/>
  <c r="D17" i="6"/>
  <c r="O16" i="6"/>
  <c r="L16" i="6"/>
  <c r="K16" i="6"/>
  <c r="J16" i="6"/>
  <c r="G16" i="6"/>
  <c r="E16" i="6"/>
  <c r="D16" i="6"/>
  <c r="O15" i="6"/>
  <c r="L15" i="6"/>
  <c r="K15" i="6"/>
  <c r="J15" i="6"/>
  <c r="G15" i="6"/>
  <c r="E15" i="6"/>
  <c r="D15" i="6"/>
  <c r="O14" i="6"/>
  <c r="L14" i="6"/>
  <c r="K14" i="6"/>
  <c r="F14" i="6"/>
  <c r="E14" i="6"/>
  <c r="D14" i="6"/>
  <c r="H8" i="6"/>
  <c r="F17" i="6" s="1"/>
  <c r="H7" i="6"/>
  <c r="H21" i="6" s="1"/>
  <c r="H21" i="5"/>
  <c r="O17" i="5"/>
  <c r="L17" i="5"/>
  <c r="K17" i="5"/>
  <c r="J17" i="5"/>
  <c r="F17" i="5"/>
  <c r="E17" i="5"/>
  <c r="D17" i="5"/>
  <c r="O16" i="5"/>
  <c r="L16" i="5"/>
  <c r="K16" i="5"/>
  <c r="J16" i="5"/>
  <c r="G16" i="5"/>
  <c r="F16" i="5"/>
  <c r="E16" i="5"/>
  <c r="D16" i="5"/>
  <c r="O15" i="5"/>
  <c r="L15" i="5"/>
  <c r="K15" i="5"/>
  <c r="J15" i="5"/>
  <c r="G15" i="5"/>
  <c r="E15" i="5"/>
  <c r="D15" i="5"/>
  <c r="O14" i="5"/>
  <c r="L14" i="5"/>
  <c r="K14" i="5"/>
  <c r="F14" i="5"/>
  <c r="E14" i="5"/>
  <c r="D14" i="5"/>
  <c r="H8" i="5"/>
  <c r="F15" i="5" s="1"/>
  <c r="H7" i="5"/>
  <c r="H21" i="4"/>
  <c r="O17" i="4"/>
  <c r="L17" i="4"/>
  <c r="K17" i="4"/>
  <c r="J17" i="4"/>
  <c r="F17" i="4"/>
  <c r="E17" i="4"/>
  <c r="D17" i="4"/>
  <c r="O16" i="4"/>
  <c r="L16" i="4"/>
  <c r="K16" i="4"/>
  <c r="J16" i="4"/>
  <c r="G16" i="4"/>
  <c r="E16" i="4"/>
  <c r="D16" i="4"/>
  <c r="O15" i="4"/>
  <c r="L15" i="4"/>
  <c r="K15" i="4"/>
  <c r="J15" i="4"/>
  <c r="G15" i="4"/>
  <c r="E15" i="4"/>
  <c r="D15" i="4"/>
  <c r="O14" i="4"/>
  <c r="L14" i="4"/>
  <c r="K14" i="4"/>
  <c r="F14" i="4"/>
  <c r="E14" i="4"/>
  <c r="D14" i="4"/>
  <c r="H8" i="4"/>
  <c r="F16" i="4" s="1"/>
  <c r="H7" i="4"/>
  <c r="O17" i="3"/>
  <c r="L17" i="3"/>
  <c r="K17" i="3"/>
  <c r="J17" i="3"/>
  <c r="E17" i="3"/>
  <c r="D17" i="3"/>
  <c r="O16" i="3"/>
  <c r="L16" i="3"/>
  <c r="K16" i="3"/>
  <c r="J16" i="3"/>
  <c r="G16" i="3"/>
  <c r="E16" i="3"/>
  <c r="D16" i="3"/>
  <c r="O15" i="3"/>
  <c r="L15" i="3"/>
  <c r="K15" i="3"/>
  <c r="J15" i="3"/>
  <c r="G15" i="3"/>
  <c r="E15" i="3"/>
  <c r="D15" i="3"/>
  <c r="O14" i="3"/>
  <c r="L14" i="3"/>
  <c r="K14" i="3"/>
  <c r="F14" i="3"/>
  <c r="E14" i="3"/>
  <c r="D14" i="3"/>
  <c r="H8" i="3"/>
  <c r="F17" i="3" s="1"/>
  <c r="H7" i="3"/>
  <c r="H21" i="3" s="1"/>
  <c r="K14" i="2"/>
  <c r="L14" i="2" s="1"/>
  <c r="O17" i="2"/>
  <c r="O16" i="2"/>
  <c r="O15" i="2"/>
  <c r="O14" i="2"/>
  <c r="J15" i="2"/>
  <c r="J16" i="2"/>
  <c r="J17" i="2"/>
  <c r="G16" i="2"/>
  <c r="G15" i="2"/>
  <c r="F14" i="7" l="1"/>
  <c r="F15" i="7"/>
  <c r="H15" i="7" s="1"/>
  <c r="K15" i="7" s="1"/>
  <c r="L15" i="7" s="1"/>
  <c r="F16" i="7"/>
  <c r="H16" i="7" s="1"/>
  <c r="K16" i="7" s="1"/>
  <c r="L16" i="7" s="1"/>
  <c r="F15" i="6"/>
  <c r="H15" i="6" s="1"/>
  <c r="F16" i="6"/>
  <c r="H16" i="6" s="1"/>
  <c r="H16" i="5"/>
  <c r="H15" i="5"/>
  <c r="G14" i="5"/>
  <c r="G17" i="5"/>
  <c r="H17" i="5" s="1"/>
  <c r="H16" i="4"/>
  <c r="F15" i="4"/>
  <c r="H15" i="4" s="1"/>
  <c r="G14" i="4" s="1"/>
  <c r="F15" i="3"/>
  <c r="H15" i="3" s="1"/>
  <c r="G14" i="3" s="1"/>
  <c r="F16" i="3"/>
  <c r="H16" i="3" s="1"/>
  <c r="E17" i="2"/>
  <c r="E16" i="2"/>
  <c r="E15" i="2"/>
  <c r="E14" i="2"/>
  <c r="D15" i="2"/>
  <c r="D16" i="2"/>
  <c r="D17" i="2"/>
  <c r="D14" i="2"/>
  <c r="H8" i="2"/>
  <c r="H7" i="2"/>
  <c r="H21" i="2" s="1"/>
  <c r="G21" i="1"/>
  <c r="F21" i="1"/>
  <c r="D4" i="1"/>
  <c r="D7" i="1"/>
  <c r="D5" i="1"/>
  <c r="G14" i="7" l="1"/>
  <c r="J14" i="7" s="1"/>
  <c r="G17" i="7"/>
  <c r="H17" i="7" s="1"/>
  <c r="K17" i="7" s="1"/>
  <c r="L17" i="7" s="1"/>
  <c r="G14" i="6"/>
  <c r="J14" i="6" s="1"/>
  <c r="H14" i="6"/>
  <c r="G17" i="6"/>
  <c r="H17" i="6" s="1"/>
  <c r="J14" i="5"/>
  <c r="H14" i="5"/>
  <c r="H14" i="4"/>
  <c r="J14" i="4"/>
  <c r="G17" i="4"/>
  <c r="H17" i="4" s="1"/>
  <c r="J14" i="3"/>
  <c r="H14" i="3"/>
  <c r="G17" i="3"/>
  <c r="H17" i="3" s="1"/>
  <c r="F15" i="2"/>
  <c r="H15" i="2" s="1"/>
  <c r="K17" i="2"/>
  <c r="L17" i="2" s="1"/>
  <c r="K16" i="2"/>
  <c r="L16" i="2" s="1"/>
  <c r="K15" i="2"/>
  <c r="L15" i="2" s="1"/>
  <c r="F14" i="2"/>
  <c r="F17" i="2"/>
  <c r="F16" i="2"/>
  <c r="H16" i="2" s="1"/>
  <c r="I21" i="1"/>
  <c r="C7" i="1"/>
  <c r="C9" i="1" s="1"/>
  <c r="C11" i="1" s="1"/>
  <c r="H14" i="7" l="1"/>
  <c r="K14" i="7" s="1"/>
  <c r="L14" i="7" s="1"/>
  <c r="G14" i="2"/>
  <c r="J14" i="2" s="1"/>
  <c r="G17" i="2"/>
  <c r="H17" i="2" s="1"/>
  <c r="C10" i="1"/>
  <c r="C13" i="1" s="1"/>
  <c r="H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D36526B6-F8A8-42F9-8AB3-3D400D936B85}">
      <text>
        <r>
          <rPr>
            <b/>
            <sz val="9"/>
            <color indexed="81"/>
            <rFont val="Tahoma"/>
            <family val="2"/>
          </rPr>
          <t xml:space="preserve">Will provide the breakdown of Sponsor Amount (direct charge)/ Cost Share if entered; otherwise leave blank.
</t>
        </r>
      </text>
    </comment>
    <comment ref="G13" authorId="0" shapeId="0" xr:uid="{AA504B4F-F697-4CED-9455-280F48C1FFE1}">
      <text>
        <r>
          <rPr>
            <sz val="9"/>
            <color indexed="81"/>
            <rFont val="Tahoma"/>
            <family val="2"/>
          </rPr>
          <t>Will populate for May and August if the maximum allowable earnings are exceeded.</t>
        </r>
      </text>
    </comment>
    <comment ref="H13" authorId="1" shapeId="0" xr:uid="{FD5031EA-E292-4F86-9C1C-3742586A210E}">
      <text>
        <r>
          <rPr>
            <sz val="9"/>
            <color indexed="81"/>
            <rFont val="Tahoma"/>
            <family val="2"/>
          </rPr>
          <t xml:space="preserve">Payment Amount in this column is based on the Maximum Daily Rate or Adjusted Daily Rate if applicable. 
</t>
        </r>
      </text>
    </comment>
    <comment ref="I13" authorId="0" shapeId="0" xr:uid="{6585724F-778D-44B9-A147-B2FC6ADA6E47}">
      <text>
        <r>
          <rPr>
            <b/>
            <sz val="9"/>
            <color indexed="81"/>
            <rFont val="Tahoma"/>
            <family val="2"/>
          </rPr>
          <t xml:space="preserve">Enter amount to be paid if less than calculated amount. </t>
        </r>
      </text>
    </comment>
    <comment ref="M13" authorId="0" shapeId="0" xr:uid="{BF22021C-3219-47B4-BAAD-24732F97AA01}">
      <text>
        <r>
          <rPr>
            <b/>
            <sz val="9"/>
            <color indexed="81"/>
            <rFont val="Tahoma"/>
            <family val="2"/>
          </rPr>
          <t>Enter amount to be paid if less than the Payment Amount field. Leave blank otherwise.</t>
        </r>
      </text>
    </comment>
    <comment ref="N13" authorId="1" shapeId="0" xr:uid="{7AB91B4F-F40F-4850-A512-6C3B6952B0E7}">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8237EEDC-41CD-42BE-928D-09C2FA31FC62}">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13B57CF9-488A-4619-A5BC-875DF4506AA1}">
      <text>
        <r>
          <rPr>
            <b/>
            <sz val="7"/>
            <color indexed="81"/>
            <rFont val="Tahoma"/>
            <family val="2"/>
          </rPr>
          <t xml:space="preserve">Enter the Monday after Spring Commencement
</t>
        </r>
      </text>
    </comment>
    <comment ref="C17" authorId="0" shapeId="0" xr:uid="{9267133D-F423-44B5-99F2-4019BFBF8096}">
      <text>
        <r>
          <rPr>
            <b/>
            <sz val="7"/>
            <color indexed="81"/>
            <rFont val="Tahoma"/>
            <family val="2"/>
          </rPr>
          <t>Enter the last work day before fall classes begin.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133D7939-0840-4FE5-987B-1CD456AF5EE9}">
      <text>
        <r>
          <rPr>
            <b/>
            <sz val="9"/>
            <color indexed="81"/>
            <rFont val="Tahoma"/>
            <family val="2"/>
          </rPr>
          <t xml:space="preserve">Will provide the breakdown of Sponsor Amount (direct charge)/ Cost Share if entered; otherwise leave blank.
</t>
        </r>
      </text>
    </comment>
    <comment ref="G13" authorId="0" shapeId="0" xr:uid="{7D4B9750-CBB7-4DF6-8C45-CEFBD2CA3073}">
      <text>
        <r>
          <rPr>
            <sz val="9"/>
            <color indexed="81"/>
            <rFont val="Tahoma"/>
            <family val="2"/>
          </rPr>
          <t>Will populate for May and August if the maximum allowable earnings are exceeded.</t>
        </r>
      </text>
    </comment>
    <comment ref="H13" authorId="1" shapeId="0" xr:uid="{B48F869F-22E6-48FF-AF55-D182E7462EF0}">
      <text>
        <r>
          <rPr>
            <sz val="9"/>
            <color indexed="81"/>
            <rFont val="Tahoma"/>
            <family val="2"/>
          </rPr>
          <t xml:space="preserve">Payment Amount in this column is based on the Maximum Daily Rate or Adjusted Daily Rate if applicable. 
</t>
        </r>
      </text>
    </comment>
    <comment ref="I13" authorId="0" shapeId="0" xr:uid="{CFEEEF35-F22D-4563-9FE6-AC11674B0032}">
      <text>
        <r>
          <rPr>
            <b/>
            <sz val="9"/>
            <color indexed="81"/>
            <rFont val="Tahoma"/>
            <family val="2"/>
          </rPr>
          <t xml:space="preserve">Enter amount to be paid if less than calculated amount. </t>
        </r>
      </text>
    </comment>
    <comment ref="M13" authorId="0" shapeId="0" xr:uid="{5179F501-FEED-4A40-BB69-C6802D2BCED2}">
      <text>
        <r>
          <rPr>
            <b/>
            <sz val="9"/>
            <color indexed="81"/>
            <rFont val="Tahoma"/>
            <family val="2"/>
          </rPr>
          <t>Enter amount to be paid if less than the Payment Amount field. Leave blank otherwise.</t>
        </r>
      </text>
    </comment>
    <comment ref="N13" authorId="1" shapeId="0" xr:uid="{956B4F73-88D8-424B-A8F5-AD460706CB1D}">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85D3BA51-F7AA-45A8-9B76-DB5B90589BC8}">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FD9D6608-F6BC-4171-9221-1619F0E32DD9}">
      <text>
        <r>
          <rPr>
            <b/>
            <sz val="7"/>
            <color indexed="81"/>
            <rFont val="Tahoma"/>
            <family val="2"/>
          </rPr>
          <t xml:space="preserve">Enter the Monday after Spring Commencement
</t>
        </r>
      </text>
    </comment>
    <comment ref="C17" authorId="0" shapeId="0" xr:uid="{26EDFC7B-B91C-4CA4-BECE-E4B919C1C6E6}">
      <text>
        <r>
          <rPr>
            <b/>
            <sz val="7"/>
            <color indexed="81"/>
            <rFont val="Tahoma"/>
            <family val="2"/>
          </rPr>
          <t>Enter the last work day before fall classes begin.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302D6402-AD11-4DB8-AFCC-348030EE4F54}">
      <text>
        <r>
          <rPr>
            <b/>
            <sz val="9"/>
            <color indexed="81"/>
            <rFont val="Tahoma"/>
            <family val="2"/>
          </rPr>
          <t xml:space="preserve">Will provide the breakdown of Sponsor Amount (direct charge)/ Cost Share if entered; otherwise leave blank.
</t>
        </r>
      </text>
    </comment>
    <comment ref="G13" authorId="0" shapeId="0" xr:uid="{74E4BC91-46DB-458F-A2A2-2E6DF425B43B}">
      <text>
        <r>
          <rPr>
            <sz val="9"/>
            <color indexed="81"/>
            <rFont val="Tahoma"/>
            <family val="2"/>
          </rPr>
          <t>Will populate for May and August if the maximum allowable earnings are exceeded.</t>
        </r>
      </text>
    </comment>
    <comment ref="H13" authorId="1" shapeId="0" xr:uid="{D639288F-1A9D-4ED1-848E-EDE3B2F06C21}">
      <text>
        <r>
          <rPr>
            <sz val="9"/>
            <color indexed="81"/>
            <rFont val="Tahoma"/>
            <family val="2"/>
          </rPr>
          <t xml:space="preserve">Payment Amount in this column is based on the Maximum Daily Rate or Adjusted Daily Rate if applicable. 
</t>
        </r>
      </text>
    </comment>
    <comment ref="I13" authorId="0" shapeId="0" xr:uid="{99557E9C-AFCE-44C7-AFE9-3A907F88AD6F}">
      <text>
        <r>
          <rPr>
            <b/>
            <sz val="9"/>
            <color indexed="81"/>
            <rFont val="Tahoma"/>
            <family val="2"/>
          </rPr>
          <t xml:space="preserve">Enter amount to be paid if less than calculated amount. </t>
        </r>
      </text>
    </comment>
    <comment ref="M13" authorId="0" shapeId="0" xr:uid="{CFD85676-9EB6-449F-91ED-7AF502F27E47}">
      <text>
        <r>
          <rPr>
            <b/>
            <sz val="9"/>
            <color indexed="81"/>
            <rFont val="Tahoma"/>
            <family val="2"/>
          </rPr>
          <t>Enter amount to be paid if less than the Payment Amount field. Leave blank otherwise.</t>
        </r>
      </text>
    </comment>
    <comment ref="N13" authorId="1" shapeId="0" xr:uid="{95E9B7AA-EC59-456A-B8DC-F10E0FB421B5}">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B220C83C-2975-4592-A071-4982B323D388}">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C078EC8F-3511-47F8-AEFF-2D2A6F0F22D4}">
      <text>
        <r>
          <rPr>
            <b/>
            <sz val="7"/>
            <color indexed="81"/>
            <rFont val="Tahoma"/>
            <family val="2"/>
          </rPr>
          <t xml:space="preserve">Enter the Monday after Spring Commencement
</t>
        </r>
      </text>
    </comment>
    <comment ref="C17" authorId="0" shapeId="0" xr:uid="{753ABE7D-6866-48F0-A520-2E249EEC43DB}">
      <text>
        <r>
          <rPr>
            <b/>
            <sz val="7"/>
            <color indexed="81"/>
            <rFont val="Tahoma"/>
            <family val="2"/>
          </rPr>
          <t>Enter the last work day before fall classes begin.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340DA390-4ADE-4FC7-9188-CE018F734D21}">
      <text>
        <r>
          <rPr>
            <b/>
            <sz val="9"/>
            <color indexed="81"/>
            <rFont val="Tahoma"/>
            <family val="2"/>
          </rPr>
          <t xml:space="preserve">Will provide the breakdown of Sponsor Amount (direct charge)/ Cost Share if entered; otherwise leave blank.
</t>
        </r>
      </text>
    </comment>
    <comment ref="G13" authorId="0" shapeId="0" xr:uid="{49936D06-9C1F-4DC2-8C0B-D14B8DD5EC29}">
      <text>
        <r>
          <rPr>
            <sz val="9"/>
            <color indexed="81"/>
            <rFont val="Tahoma"/>
            <family val="2"/>
          </rPr>
          <t>Will populate for May and August if the maximum allowable earnings are exceeded.</t>
        </r>
      </text>
    </comment>
    <comment ref="H13" authorId="1" shapeId="0" xr:uid="{3A0F3B47-8E5E-40AC-8E3C-9E9521D576D1}">
      <text>
        <r>
          <rPr>
            <sz val="9"/>
            <color indexed="81"/>
            <rFont val="Tahoma"/>
            <family val="2"/>
          </rPr>
          <t xml:space="preserve">Payment Amount in this column is based on the Maximum Daily Rate or Adjusted Daily Rate if applicable. 
</t>
        </r>
      </text>
    </comment>
    <comment ref="I13" authorId="0" shapeId="0" xr:uid="{A5BD9DB2-E543-4425-9DC2-67BF4EE959EA}">
      <text>
        <r>
          <rPr>
            <b/>
            <sz val="9"/>
            <color indexed="81"/>
            <rFont val="Tahoma"/>
            <family val="2"/>
          </rPr>
          <t xml:space="preserve">Enter amount to be paid if less than calculated amount. </t>
        </r>
      </text>
    </comment>
    <comment ref="M13" authorId="0" shapeId="0" xr:uid="{8EC23561-6D0C-43B6-B6DD-0455945D62C8}">
      <text>
        <r>
          <rPr>
            <b/>
            <sz val="9"/>
            <color indexed="81"/>
            <rFont val="Tahoma"/>
            <family val="2"/>
          </rPr>
          <t>Enter amount to be paid if less than the Payment Amount field. Leave blank otherwise.</t>
        </r>
      </text>
    </comment>
    <comment ref="N13" authorId="1" shapeId="0" xr:uid="{5B725980-8B5F-4B38-97F4-9BDB1A3F3188}">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4E2F18D4-EBDC-4F0D-955B-35F158180F19}">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5DED5A93-F014-464C-837C-341D3754794F}">
      <text>
        <r>
          <rPr>
            <b/>
            <sz val="7"/>
            <color indexed="81"/>
            <rFont val="Tahoma"/>
            <family val="2"/>
          </rPr>
          <t xml:space="preserve">Enter the Monday after Spring Commencement
</t>
        </r>
      </text>
    </comment>
    <comment ref="C17" authorId="0" shapeId="0" xr:uid="{4E277B0A-2F2B-4262-80A8-2ED36F7E7623}">
      <text>
        <r>
          <rPr>
            <b/>
            <sz val="7"/>
            <color indexed="81"/>
            <rFont val="Tahoma"/>
            <family val="2"/>
          </rPr>
          <t>Enter the last work day before fall classes begin.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958EDA4F-7547-4D81-8857-3BD1E0906ED5}">
      <text>
        <r>
          <rPr>
            <b/>
            <sz val="9"/>
            <color indexed="81"/>
            <rFont val="Tahoma"/>
            <family val="2"/>
          </rPr>
          <t xml:space="preserve">Will provide the breakdown of Sponsor Amount (direct charge)/ Cost Share if entered; otherwise leave blank.
</t>
        </r>
      </text>
    </comment>
    <comment ref="G13" authorId="0" shapeId="0" xr:uid="{043FB9F5-B295-4AD6-B292-DA7C13A1B012}">
      <text>
        <r>
          <rPr>
            <sz val="9"/>
            <color indexed="81"/>
            <rFont val="Tahoma"/>
            <family val="2"/>
          </rPr>
          <t>Will populate for May and August if the maximum allowable earnings are exceeded.</t>
        </r>
      </text>
    </comment>
    <comment ref="H13" authorId="1" shapeId="0" xr:uid="{3F4E5F57-FED2-4669-8C89-DB7AFFE658CF}">
      <text>
        <r>
          <rPr>
            <sz val="9"/>
            <color indexed="81"/>
            <rFont val="Tahoma"/>
            <family val="2"/>
          </rPr>
          <t xml:space="preserve">Payment Amount in this column is based on the Maximum Daily Rate or Adjusted Daily Rate if applicable. 
</t>
        </r>
      </text>
    </comment>
    <comment ref="I13" authorId="0" shapeId="0" xr:uid="{2F8B7BC7-269C-403E-934F-E98DBA45FEA3}">
      <text>
        <r>
          <rPr>
            <b/>
            <sz val="9"/>
            <color indexed="81"/>
            <rFont val="Tahoma"/>
            <family val="2"/>
          </rPr>
          <t xml:space="preserve">Enter amount to be paid if less than calculated amount. </t>
        </r>
      </text>
    </comment>
    <comment ref="M13" authorId="0" shapeId="0" xr:uid="{79E82A5A-0145-4ACC-9E11-5C2D34F3322D}">
      <text>
        <r>
          <rPr>
            <b/>
            <sz val="9"/>
            <color indexed="81"/>
            <rFont val="Tahoma"/>
            <family val="2"/>
          </rPr>
          <t>Enter amount to be paid if less than the Payment Amount field. Leave blank otherwise.</t>
        </r>
      </text>
    </comment>
    <comment ref="N13" authorId="1" shapeId="0" xr:uid="{64344E08-B2C1-4279-A3A0-426D924B010E}">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F411A879-910B-441D-B67C-0C27CE3223BE}">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80CB1975-9DE7-40DD-9FA7-B62CF56856D6}">
      <text>
        <r>
          <rPr>
            <b/>
            <sz val="7"/>
            <color indexed="81"/>
            <rFont val="Tahoma"/>
            <family val="2"/>
          </rPr>
          <t xml:space="preserve">Enter the Monday after Spring Commencement
</t>
        </r>
      </text>
    </comment>
    <comment ref="C17" authorId="0" shapeId="0" xr:uid="{A45A796B-DD5C-4EC1-BF62-B7FC3656A7D5}">
      <text>
        <r>
          <rPr>
            <b/>
            <sz val="7"/>
            <color indexed="81"/>
            <rFont val="Tahoma"/>
            <family val="2"/>
          </rPr>
          <t>Enter the last work day before fall classes begin.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Miller, Walter M Jr</author>
    <author>Pike, James (J.R.)</author>
  </authors>
  <commentList>
    <comment ref="H9" authorId="0" shapeId="0" xr:uid="{AF688C90-833A-4656-9F50-9E8F3758F47F}">
      <text>
        <r>
          <rPr>
            <b/>
            <sz val="9"/>
            <color indexed="81"/>
            <rFont val="Tahoma"/>
            <family val="2"/>
          </rPr>
          <t xml:space="preserve">Will provide the breakdown of Sponsor Amount (direct charge)/ Cost Share if entered; otherwise leave blank.
</t>
        </r>
      </text>
    </comment>
    <comment ref="G13" authorId="0" shapeId="0" xr:uid="{1FBC0EDC-0C69-4B8A-9BE4-FA3BE1D2D312}">
      <text>
        <r>
          <rPr>
            <sz val="9"/>
            <color indexed="81"/>
            <rFont val="Tahoma"/>
            <family val="2"/>
          </rPr>
          <t>Will populate for May and August if the maximum allowable earnings are exceeded.</t>
        </r>
      </text>
    </comment>
    <comment ref="H13" authorId="1" shapeId="0" xr:uid="{28049E3B-6449-4366-BB3F-347F9C361FEF}">
      <text>
        <r>
          <rPr>
            <sz val="9"/>
            <color indexed="81"/>
            <rFont val="Tahoma"/>
            <family val="2"/>
          </rPr>
          <t xml:space="preserve">Payment Amount in this column is based on the Maximum Daily Rate or Adjusted Daily Rate if applicable. 
</t>
        </r>
      </text>
    </comment>
    <comment ref="I13" authorId="0" shapeId="0" xr:uid="{D81AA90E-6E2F-424B-ADA9-1393F0A809D7}">
      <text>
        <r>
          <rPr>
            <b/>
            <sz val="9"/>
            <color indexed="81"/>
            <rFont val="Tahoma"/>
            <family val="2"/>
          </rPr>
          <t xml:space="preserve">Enter amount to be paid if less than calculated amount. </t>
        </r>
      </text>
    </comment>
    <comment ref="M13" authorId="0" shapeId="0" xr:uid="{24C853F0-CC19-4531-9AD6-551FBC7D0216}">
      <text>
        <r>
          <rPr>
            <b/>
            <sz val="9"/>
            <color indexed="81"/>
            <rFont val="Tahoma"/>
            <family val="2"/>
          </rPr>
          <t>Enter amount to be paid if less than the Payment Amount field. Leave blank otherwise.</t>
        </r>
      </text>
    </comment>
    <comment ref="N13" authorId="1" shapeId="0" xr:uid="{9BB7BCD0-E19A-44F6-9A12-18152D6BCA95}">
      <text>
        <r>
          <rPr>
            <sz val="9"/>
            <color indexed="81"/>
            <rFont val="Tahoma"/>
            <family val="2"/>
          </rPr>
          <t xml:space="preserve">Enter the total number of work days (Monday-Friday) that the employee will be paid for the month. The Adjusted Days Paid amount may need to be entered as a partial day which is allowable. However, the Adjusted Days Paid amount when rounded to the nearest whole day should match the Work Days column. </t>
        </r>
      </text>
    </comment>
    <comment ref="O13" authorId="1" shapeId="0" xr:uid="{16C064A5-5957-40B1-9803-DE13F2939E19}">
      <text>
        <r>
          <rPr>
            <sz val="9"/>
            <color indexed="81"/>
            <rFont val="Tahoma"/>
            <family val="2"/>
          </rPr>
          <t xml:space="preserve">This field will calculate automatically and will serve as the actual Daily Rate used to pay the employee. The Daily Rate Used should be less than or equal to the Maximum or Adjusted Daily Rate fields. 
</t>
        </r>
      </text>
    </comment>
    <comment ref="B14" authorId="0" shapeId="0" xr:uid="{D6B734E0-6AC8-4A0B-A38C-DFE563AC7EBF}">
      <text>
        <r>
          <rPr>
            <b/>
            <sz val="7"/>
            <color indexed="81"/>
            <rFont val="Tahoma"/>
            <family val="2"/>
          </rPr>
          <t xml:space="preserve">Enter the Monday after Spring Commencement
</t>
        </r>
      </text>
    </comment>
    <comment ref="C17" authorId="0" shapeId="0" xr:uid="{656B6661-CE31-4A17-B9EA-34EBA0EED1CF}">
      <text>
        <r>
          <rPr>
            <b/>
            <sz val="7"/>
            <color indexed="81"/>
            <rFont val="Tahoma"/>
            <family val="2"/>
          </rPr>
          <t>Enter the last work day before fall classes begin.</t>
        </r>
      </text>
    </comment>
  </commentList>
</comments>
</file>

<file path=xl/sharedStrings.xml><?xml version="1.0" encoding="utf-8"?>
<sst xmlns="http://schemas.openxmlformats.org/spreadsheetml/2006/main" count="301" uniqueCount="66">
  <si>
    <t>Last month</t>
  </si>
  <si>
    <t>Begin Date</t>
  </si>
  <si>
    <t>Annual Rate</t>
  </si>
  <si>
    <t>Monthly Stipend</t>
  </si>
  <si>
    <t>First month</t>
  </si>
  <si>
    <t>Total Payments</t>
  </si>
  <si>
    <t xml:space="preserve">Amount to Pay </t>
  </si>
  <si>
    <t>By Calendar</t>
  </si>
  <si>
    <t>By Work Day</t>
  </si>
  <si>
    <t>Graduate Student Stipend Calculator</t>
  </si>
  <si>
    <t>Summer Salary Calculator</t>
  </si>
  <si>
    <t>Allowable Earnings: 1/3 of 9 month salary</t>
  </si>
  <si>
    <t>May</t>
  </si>
  <si>
    <t>June</t>
  </si>
  <si>
    <t xml:space="preserve">July </t>
  </si>
  <si>
    <t>August</t>
  </si>
  <si>
    <t>End Date</t>
  </si>
  <si>
    <t>Work Days</t>
  </si>
  <si>
    <t>Daily Rate</t>
  </si>
  <si>
    <t>Monthly Rate (Divide nine-month salary by 9)</t>
  </si>
  <si>
    <t>Maximum that can be Earned</t>
  </si>
  <si>
    <t>Adjusted Daily Rate</t>
  </si>
  <si>
    <t xml:space="preserve">NOTE:  </t>
  </si>
  <si>
    <t>All Summer School pay comes off the top.  It counts first toward the one-third that can be earned.</t>
  </si>
  <si>
    <r>
      <t xml:space="preserve">Summer payments made to 12-month employees must be on an </t>
    </r>
    <r>
      <rPr>
        <b/>
        <sz val="10"/>
        <rFont val="Arial"/>
        <family val="2"/>
      </rPr>
      <t>overload</t>
    </r>
    <r>
      <rPr>
        <sz val="10"/>
        <rFont val="Arial"/>
        <family val="2"/>
      </rPr>
      <t xml:space="preserve"> basis. </t>
    </r>
  </si>
  <si>
    <t>(can't exceed 20% of base salary in a calendar year).</t>
  </si>
  <si>
    <t>Amounts earned after July 1 each year can be increased if there is a salary increase.</t>
  </si>
  <si>
    <t>All salary rates and payment amounts must be in whole dollars.</t>
  </si>
  <si>
    <t>Name</t>
  </si>
  <si>
    <t>EMPLID</t>
  </si>
  <si>
    <t>Adjusted Amount</t>
  </si>
  <si>
    <t xml:space="preserve">Annual Rate </t>
  </si>
  <si>
    <t>Enter the NIH or sponsor annual cap (optional)</t>
  </si>
  <si>
    <t>Sponsor Amount</t>
  </si>
  <si>
    <t>Cost Share</t>
  </si>
  <si>
    <t>Days Paid</t>
  </si>
  <si>
    <t xml:space="preserve">The Adjusted Daily Rate should only be used when an employee will be paid the maximum amount to be earned over the summer. </t>
  </si>
  <si>
    <t>Adjusted Payment Amount</t>
  </si>
  <si>
    <t xml:space="preserve">June </t>
  </si>
  <si>
    <t>Payment Amount</t>
  </si>
  <si>
    <t>Work Period Start Date</t>
  </si>
  <si>
    <t>Work Period End Date</t>
  </si>
  <si>
    <t>Number of Days Worked</t>
  </si>
  <si>
    <t>Summer Paye</t>
  </si>
  <si>
    <t>Daily Rate Used</t>
  </si>
  <si>
    <t>Maximum Daily Rate</t>
  </si>
  <si>
    <t xml:space="preserve">The information calculated below is based on a scenario where the employee will be paid at their maximum daily rate for the maximum number of work days in each month. The employee also exceeds the salary cap for an NIH project. Enter the NIH Salary Cap in the field above to calculate the Sponsor Amount (direct charge) covered by the award and the Cost Share to be covered by the department. </t>
  </si>
  <si>
    <t xml:space="preserve">The information calculated below is based on a scenario where the employee can only be paid a predetermined amount. This is likley to be used when a sponsored project has a budget that will not support payment at the maximum daily rate. For example, the project was awarded at a specific effort level and only provides $5,000 for summer salary funding and rebudgeting is not allowed. Enter the Adjusted Payment Amount and number of work days in the Days Paid column to determine the Daily Rate Used. See notes in each column for further details. Begin and End Date fields should be adjusted to relflect the actual period worked. </t>
  </si>
  <si>
    <t xml:space="preserve">Cost Share Required </t>
  </si>
  <si>
    <t>Yes</t>
  </si>
  <si>
    <t xml:space="preserve">The calculated information is based on a scenario where the employee will be paid at their maximum daily rate for the maximum number of work days in each month. </t>
  </si>
  <si>
    <t xml:space="preserve">The calculated information is based on an employee that will receive one month of summer pay using the maximum daily rate for the maximum number of work days in the month. The Begin and End Dates should be deleted for the months where summer pay will not be received. </t>
  </si>
  <si>
    <t xml:space="preserve">The calculated information is based on a scenario where the employee will be paid at their maximum daily rate but they will be working less than the maximum number of work days in each month. Adjust the End Date in the calculation so that it aligns with the last day worked in the month. The Work Days column will automatically calculate the appropriate number of work days to be included. </t>
  </si>
  <si>
    <t>Information to be entered on ePAR:</t>
  </si>
  <si>
    <t>Instructions: Enter the begin date / end date (including the year) of summer effort below. For months where effort is not occuring, delete the dates in the Begin Date/ End Date columns. If amount to be paid is less than Payment Amount, use the Adjusted Payment Amount Section. Also, adjust Begin Date and End Date to dates which most closely align to Adjusted Days Paid.</t>
  </si>
  <si>
    <t>Adjusted Days Paid</t>
  </si>
  <si>
    <t>Instructions: Enter the begin date / end date (including the year) of summer effort below. For months where effort is not occuring, delete the dates in the Begin Date/ End Date columns. If amount to be paid is less than Payment Amount, use the Adjusted Payment Amount Section. Also, adjust Begin Date and End Date to dates which most closely align to Adjusted Days Paid (See Example 4).</t>
  </si>
  <si>
    <t>*Updated 5_31_2024</t>
  </si>
  <si>
    <t>Method of Cost Share Capture</t>
  </si>
  <si>
    <t>See Drop Down Options Below and Select Only One</t>
  </si>
  <si>
    <t>Drop Down Options:</t>
  </si>
  <si>
    <r>
      <t xml:space="preserve">Fund Swap/Base Rate: </t>
    </r>
    <r>
      <rPr>
        <sz val="11"/>
        <color theme="1"/>
        <rFont val="Calibri"/>
        <family val="2"/>
        <scheme val="minor"/>
      </rPr>
      <t xml:space="preserve">this option should be selected if cost share for Summer Salary was captured as part of the employees 9-month appointment. </t>
    </r>
  </si>
  <si>
    <r>
      <rPr>
        <b/>
        <sz val="11"/>
        <color theme="1"/>
        <rFont val="Calibri"/>
        <family val="2"/>
        <scheme val="minor"/>
      </rPr>
      <t xml:space="preserve">On ePAR Funding: </t>
    </r>
    <r>
      <rPr>
        <sz val="11"/>
        <color theme="1"/>
        <rFont val="Calibri"/>
        <family val="2"/>
        <scheme val="minor"/>
      </rPr>
      <t xml:space="preserve">cost share is being captured on the current Lump Sum Summer Salary ePAR. </t>
    </r>
  </si>
  <si>
    <r>
      <t xml:space="preserve">Via PAAT: </t>
    </r>
    <r>
      <rPr>
        <sz val="11"/>
        <color theme="1"/>
        <rFont val="Calibri"/>
        <family val="2"/>
        <scheme val="minor"/>
      </rPr>
      <t xml:space="preserve">cost share will be captured on a PAAT submitted after the Lump Sum Summer Salary ePAR posts to the chartfield string. </t>
    </r>
  </si>
  <si>
    <t>Please provide the details of your calculation in the Justification section and attach completed calculator to the ePAR.</t>
  </si>
  <si>
    <t>*Updated 6_4_2024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</si>
</sst>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yy;@"/>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7"/>
      <color indexed="81"/>
      <name val="Tahoma"/>
      <family val="2"/>
    </font>
    <font>
      <sz val="6"/>
      <color theme="1"/>
      <name val="Calibri"/>
      <family val="2"/>
      <scheme val="minor"/>
    </font>
    <font>
      <sz val="9"/>
      <color indexed="81"/>
      <name val="Tahoma"/>
      <family val="2"/>
    </font>
    <font>
      <b/>
      <sz val="10"/>
      <name val="Arial"/>
      <family val="2"/>
    </font>
    <font>
      <sz val="10"/>
      <name val="Arial"/>
      <family val="2"/>
    </font>
    <font>
      <b/>
      <sz val="9"/>
      <color indexed="81"/>
      <name val="Tahoma"/>
      <family val="2"/>
    </font>
    <font>
      <i/>
      <sz val="11"/>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14" fontId="0" fillId="0" borderId="0" xfId="0" applyNumberFormat="1"/>
    <xf numFmtId="164" fontId="0" fillId="0" borderId="1" xfId="1" applyNumberFormat="1" applyFont="1" applyBorder="1"/>
    <xf numFmtId="14" fontId="0" fillId="0" borderId="1" xfId="0" applyNumberFormat="1" applyBorder="1"/>
    <xf numFmtId="0" fontId="0" fillId="0" borderId="2" xfId="0" applyBorder="1"/>
    <xf numFmtId="0" fontId="0" fillId="0" borderId="3" xfId="0" applyBorder="1"/>
    <xf numFmtId="14" fontId="0" fillId="0" borderId="3" xfId="0" applyNumberFormat="1" applyBorder="1"/>
    <xf numFmtId="0" fontId="0" fillId="0" borderId="4" xfId="0" applyBorder="1"/>
    <xf numFmtId="0" fontId="0" fillId="0" borderId="5" xfId="0" applyBorder="1"/>
    <xf numFmtId="0" fontId="0" fillId="0" borderId="6" xfId="0" applyBorder="1"/>
    <xf numFmtId="43" fontId="0" fillId="0" borderId="0" xfId="1" applyFont="1" applyBorder="1"/>
    <xf numFmtId="0" fontId="0" fillId="0" borderId="7" xfId="0" applyBorder="1"/>
    <xf numFmtId="0" fontId="0" fillId="0" borderId="8" xfId="0" applyBorder="1"/>
    <xf numFmtId="14" fontId="0" fillId="0" borderId="8" xfId="0" applyNumberFormat="1" applyBorder="1"/>
    <xf numFmtId="0" fontId="0" fillId="0" borderId="9" xfId="0" applyBorder="1"/>
    <xf numFmtId="0" fontId="2" fillId="0" borderId="0" xfId="0" applyFont="1"/>
    <xf numFmtId="0" fontId="2" fillId="2" borderId="10" xfId="0" applyFont="1" applyFill="1" applyBorder="1" applyAlignment="1">
      <alignment horizontal="centerContinuous" vertical="top"/>
    </xf>
    <xf numFmtId="0" fontId="0" fillId="2" borderId="11" xfId="0" applyFill="1" applyBorder="1" applyAlignment="1">
      <alignment horizontal="centerContinuous"/>
    </xf>
    <xf numFmtId="14" fontId="0" fillId="2" borderId="11" xfId="0" applyNumberFormat="1" applyFill="1" applyBorder="1" applyAlignment="1">
      <alignment horizontal="centerContinuous"/>
    </xf>
    <xf numFmtId="0" fontId="0" fillId="2" borderId="12" xfId="0" applyFill="1" applyBorder="1" applyAlignment="1">
      <alignment horizontal="centerContinuous"/>
    </xf>
    <xf numFmtId="43" fontId="0" fillId="3" borderId="1" xfId="1" applyFont="1" applyFill="1" applyBorder="1"/>
    <xf numFmtId="43" fontId="0" fillId="0" borderId="0" xfId="1" applyFont="1"/>
    <xf numFmtId="43" fontId="0" fillId="0" borderId="0" xfId="0" applyNumberFormat="1"/>
    <xf numFmtId="164" fontId="2" fillId="3" borderId="1" xfId="1" applyNumberFormat="1" applyFont="1" applyFill="1" applyBorder="1" applyProtection="1">
      <protection locked="0"/>
    </xf>
    <xf numFmtId="165" fontId="0" fillId="4" borderId="1" xfId="0" applyNumberFormat="1" applyFill="1" applyBorder="1" applyProtection="1">
      <protection locked="0"/>
    </xf>
    <xf numFmtId="0" fontId="0" fillId="0" borderId="5" xfId="0" applyBorder="1" applyProtection="1">
      <protection locked="0"/>
    </xf>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6" fillId="0" borderId="5" xfId="0" quotePrefix="1" applyFont="1" applyBorder="1" applyAlignment="1" applyProtection="1">
      <alignment horizontal="left"/>
      <protection locked="0"/>
    </xf>
    <xf numFmtId="0" fontId="0" fillId="0" borderId="6" xfId="0" applyBorder="1" applyProtection="1">
      <protection locked="0"/>
    </xf>
    <xf numFmtId="0" fontId="7"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6" fillId="0" borderId="7" xfId="0" applyFont="1" applyBorder="1" applyProtection="1">
      <protection locked="0"/>
    </xf>
    <xf numFmtId="0" fontId="6" fillId="0" borderId="8" xfId="0" applyFont="1" applyBorder="1" applyProtection="1">
      <protection locked="0"/>
    </xf>
    <xf numFmtId="164" fontId="0" fillId="0" borderId="0" xfId="1" applyNumberFormat="1" applyFont="1" applyBorder="1" applyProtection="1">
      <protection locked="0"/>
    </xf>
    <xf numFmtId="0" fontId="4" fillId="0" borderId="7" xfId="0" applyFont="1" applyBorder="1" applyProtection="1">
      <protection locked="0"/>
    </xf>
    <xf numFmtId="0" fontId="0" fillId="0" borderId="8" xfId="0" applyBorder="1" applyProtection="1">
      <protection locked="0"/>
    </xf>
    <xf numFmtId="0" fontId="0" fillId="0" borderId="8" xfId="0" applyBorder="1" applyAlignment="1" applyProtection="1">
      <alignment wrapText="1"/>
      <protection locked="0"/>
    </xf>
    <xf numFmtId="14" fontId="0" fillId="0" borderId="8" xfId="0" applyNumberFormat="1" applyBorder="1" applyProtection="1">
      <protection locked="0"/>
    </xf>
    <xf numFmtId="0" fontId="0" fillId="0" borderId="9" xfId="0" applyBorder="1" applyProtection="1">
      <protection locked="0"/>
    </xf>
    <xf numFmtId="14" fontId="0" fillId="0" borderId="0" xfId="0" applyNumberFormat="1" applyAlignment="1" applyProtection="1">
      <alignment wrapText="1"/>
      <protection locked="0"/>
    </xf>
    <xf numFmtId="0" fontId="2" fillId="2" borderId="10" xfId="0" applyFont="1" applyFill="1" applyBorder="1" applyAlignment="1" applyProtection="1">
      <alignment horizontal="centerContinuous" vertical="top"/>
      <protection locked="0"/>
    </xf>
    <xf numFmtId="0" fontId="0" fillId="2" borderId="11" xfId="0" applyFill="1" applyBorder="1" applyAlignment="1" applyProtection="1">
      <alignment horizontal="centerContinuous"/>
      <protection locked="0"/>
    </xf>
    <xf numFmtId="0" fontId="0" fillId="2" borderId="11" xfId="0" applyFill="1" applyBorder="1" applyAlignment="1" applyProtection="1">
      <alignment horizontal="centerContinuous" wrapText="1"/>
      <protection locked="0"/>
    </xf>
    <xf numFmtId="14" fontId="0" fillId="2" borderId="11" xfId="0" applyNumberFormat="1" applyFill="1" applyBorder="1" applyAlignment="1" applyProtection="1">
      <alignment horizontal="centerContinuous"/>
      <protection locked="0"/>
    </xf>
    <xf numFmtId="0" fontId="0" fillId="2" borderId="12" xfId="0" applyFill="1" applyBorder="1" applyAlignment="1" applyProtection="1">
      <alignment horizontal="centerContinuous"/>
      <protection locked="0"/>
    </xf>
    <xf numFmtId="0" fontId="0" fillId="0" borderId="2" xfId="0" applyBorder="1" applyProtection="1">
      <protection locked="0"/>
    </xf>
    <xf numFmtId="0" fontId="0" fillId="0" borderId="3" xfId="0" applyBorder="1" applyProtection="1">
      <protection locked="0"/>
    </xf>
    <xf numFmtId="0" fontId="0" fillId="0" borderId="3" xfId="0" applyBorder="1" applyAlignment="1" applyProtection="1">
      <alignment wrapText="1"/>
      <protection locked="0"/>
    </xf>
    <xf numFmtId="14" fontId="0" fillId="0" borderId="3" xfId="0" applyNumberFormat="1" applyBorder="1" applyProtection="1">
      <protection locked="0"/>
    </xf>
    <xf numFmtId="0" fontId="0" fillId="3" borderId="1" xfId="0" applyFill="1" applyBorder="1" applyProtection="1">
      <protection locked="0"/>
    </xf>
    <xf numFmtId="0" fontId="2" fillId="0" borderId="5" xfId="0" applyFont="1" applyBorder="1" applyProtection="1">
      <protection locked="0"/>
    </xf>
    <xf numFmtId="164" fontId="0" fillId="0" borderId="0" xfId="1" applyNumberFormat="1" applyFont="1" applyBorder="1" applyProtection="1"/>
    <xf numFmtId="164" fontId="2" fillId="0" borderId="13" xfId="1" applyNumberFormat="1" applyFont="1" applyFill="1" applyBorder="1" applyProtection="1"/>
    <xf numFmtId="164" fontId="2" fillId="0" borderId="14" xfId="1" applyNumberFormat="1" applyFont="1" applyFill="1" applyBorder="1" applyProtection="1"/>
    <xf numFmtId="164" fontId="9" fillId="5" borderId="0" xfId="1" applyNumberFormat="1" applyFont="1" applyFill="1" applyBorder="1" applyProtection="1">
      <protection locked="0"/>
    </xf>
    <xf numFmtId="0" fontId="0" fillId="0" borderId="0" xfId="0" applyAlignment="1">
      <alignment horizontal="left" vertical="top"/>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43" fontId="0" fillId="0" borderId="0" xfId="0" applyNumberFormat="1" applyProtection="1">
      <protection locked="0"/>
    </xf>
    <xf numFmtId="0" fontId="0" fillId="0" borderId="22" xfId="0" applyBorder="1" applyProtection="1">
      <protection locked="0"/>
    </xf>
    <xf numFmtId="14" fontId="0" fillId="0" borderId="3" xfId="0" applyNumberFormat="1" applyBorder="1" applyAlignment="1" applyProtection="1">
      <alignment wrapText="1"/>
      <protection locked="0"/>
    </xf>
    <xf numFmtId="0" fontId="2" fillId="0" borderId="16" xfId="0" applyFont="1" applyBorder="1" applyAlignment="1" applyProtection="1">
      <alignment horizontal="center" wrapText="1"/>
      <protection locked="0"/>
    </xf>
    <xf numFmtId="0" fontId="0" fillId="0" borderId="0" xfId="0" applyAlignment="1" applyProtection="1">
      <alignment horizontal="left" vertical="top"/>
      <protection locked="0"/>
    </xf>
    <xf numFmtId="0" fontId="2" fillId="0" borderId="0" xfId="0" applyFont="1" applyAlignment="1" applyProtection="1">
      <alignment horizontal="center" wrapText="1"/>
      <protection locked="0"/>
    </xf>
    <xf numFmtId="165" fontId="0" fillId="0" borderId="0" xfId="0" applyNumberFormat="1" applyProtection="1">
      <protection locked="0"/>
    </xf>
    <xf numFmtId="0" fontId="0" fillId="0" borderId="0" xfId="0" applyAlignment="1">
      <alignment wrapText="1"/>
    </xf>
    <xf numFmtId="2" fontId="0" fillId="0" borderId="0" xfId="0" applyNumberFormat="1" applyAlignment="1">
      <alignment wrapText="1"/>
    </xf>
    <xf numFmtId="0" fontId="2" fillId="0" borderId="0" xfId="0" applyFont="1" applyProtection="1">
      <protection locked="0"/>
    </xf>
    <xf numFmtId="0" fontId="0" fillId="0" borderId="6" xfId="0" applyBorder="1" applyAlignment="1">
      <alignment horizontal="left" vertical="top"/>
    </xf>
    <xf numFmtId="0" fontId="0" fillId="0" borderId="0" xfId="0" applyAlignment="1" applyProtection="1">
      <alignment horizontal="right"/>
      <protection locked="0"/>
    </xf>
    <xf numFmtId="0" fontId="2" fillId="0" borderId="17" xfId="0" applyFont="1" applyBorder="1" applyAlignment="1" applyProtection="1">
      <alignment horizontal="center" wrapText="1"/>
      <protection locked="0"/>
    </xf>
    <xf numFmtId="0" fontId="0" fillId="0" borderId="20" xfId="0" applyBorder="1"/>
    <xf numFmtId="0" fontId="0" fillId="0" borderId="13" xfId="0" applyBorder="1"/>
    <xf numFmtId="0" fontId="0" fillId="0" borderId="14" xfId="0" applyBorder="1"/>
    <xf numFmtId="0" fontId="0" fillId="0" borderId="1"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2" borderId="26" xfId="0" applyFill="1" applyBorder="1" applyAlignment="1" applyProtection="1">
      <alignment horizontal="centerContinuous"/>
      <protection locked="0"/>
    </xf>
    <xf numFmtId="0" fontId="0" fillId="0" borderId="3" xfId="0" applyBorder="1" applyAlignment="1">
      <alignment horizontal="left" vertical="top"/>
    </xf>
    <xf numFmtId="0" fontId="0" fillId="0" borderId="32" xfId="0" applyBorder="1" applyProtection="1">
      <protection locked="0"/>
    </xf>
    <xf numFmtId="0" fontId="0" fillId="0" borderId="15" xfId="0" applyBorder="1"/>
    <xf numFmtId="0" fontId="0" fillId="0" borderId="33" xfId="0" applyBorder="1"/>
    <xf numFmtId="0" fontId="0" fillId="5" borderId="0" xfId="0" applyFill="1" applyAlignment="1" applyProtection="1">
      <alignment wrapText="1"/>
      <protection locked="0"/>
    </xf>
    <xf numFmtId="0" fontId="2" fillId="5" borderId="20" xfId="0" applyFont="1" applyFill="1" applyBorder="1" applyAlignment="1">
      <alignment horizontal="center" wrapText="1"/>
    </xf>
    <xf numFmtId="0" fontId="2" fillId="5" borderId="17" xfId="0" applyFont="1" applyFill="1" applyBorder="1" applyAlignment="1">
      <alignment horizontal="center" wrapText="1"/>
    </xf>
    <xf numFmtId="164" fontId="0" fillId="5" borderId="23" xfId="0" applyNumberFormat="1" applyFill="1" applyBorder="1"/>
    <xf numFmtId="164" fontId="0" fillId="5" borderId="22" xfId="0" applyNumberFormat="1" applyFill="1" applyBorder="1"/>
    <xf numFmtId="164" fontId="0" fillId="5" borderId="24" xfId="0" applyNumberFormat="1" applyFill="1" applyBorder="1"/>
    <xf numFmtId="164" fontId="0" fillId="5" borderId="0" xfId="0" applyNumberFormat="1" applyFill="1"/>
    <xf numFmtId="164" fontId="0" fillId="5" borderId="25" xfId="0" applyNumberFormat="1" applyFill="1" applyBorder="1"/>
    <xf numFmtId="164" fontId="0" fillId="5" borderId="21" xfId="0" applyNumberFormat="1" applyFill="1" applyBorder="1"/>
    <xf numFmtId="0" fontId="2" fillId="6" borderId="0" xfId="0" applyFont="1" applyFill="1" applyAlignment="1" applyProtection="1">
      <alignment horizontal="center" wrapText="1"/>
      <protection locked="0"/>
    </xf>
    <xf numFmtId="164" fontId="2" fillId="6" borderId="1" xfId="1" applyNumberFormat="1" applyFont="1" applyFill="1" applyBorder="1" applyAlignment="1" applyProtection="1">
      <alignment horizontal="center" wrapText="1"/>
      <protection locked="0"/>
    </xf>
    <xf numFmtId="0" fontId="2" fillId="6" borderId="27" xfId="0" applyFont="1" applyFill="1" applyBorder="1" applyAlignment="1" applyProtection="1">
      <alignment horizontal="center" wrapText="1"/>
      <protection locked="0"/>
    </xf>
    <xf numFmtId="0" fontId="2" fillId="6" borderId="28" xfId="0" applyFont="1" applyFill="1" applyBorder="1" applyAlignment="1" applyProtection="1">
      <alignment horizontal="center" wrapText="1"/>
      <protection locked="0"/>
    </xf>
    <xf numFmtId="0" fontId="2" fillId="6" borderId="29" xfId="0" applyFont="1" applyFill="1" applyBorder="1" applyAlignment="1" applyProtection="1">
      <alignment wrapText="1"/>
      <protection locked="0"/>
    </xf>
    <xf numFmtId="164" fontId="9" fillId="5" borderId="1" xfId="1" applyNumberFormat="1" applyFont="1" applyFill="1" applyBorder="1" applyProtection="1">
      <protection locked="0"/>
    </xf>
    <xf numFmtId="0" fontId="2" fillId="0" borderId="1" xfId="0" applyFont="1" applyBorder="1" applyProtection="1">
      <protection locked="0"/>
    </xf>
    <xf numFmtId="166" fontId="0" fillId="0" borderId="1" xfId="2" applyNumberFormat="1" applyFont="1" applyBorder="1" applyProtection="1">
      <protection locked="0"/>
    </xf>
    <xf numFmtId="14" fontId="0" fillId="0" borderId="1" xfId="0" applyNumberFormat="1" applyBorder="1" applyProtection="1">
      <protection locked="0"/>
    </xf>
    <xf numFmtId="44" fontId="0" fillId="0" borderId="1" xfId="2"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0" fillId="0" borderId="35" xfId="0" applyBorder="1" applyProtection="1">
      <protection locked="0"/>
    </xf>
    <xf numFmtId="0" fontId="2" fillId="0" borderId="16" xfId="0" applyFont="1" applyBorder="1" applyProtection="1">
      <protection locked="0"/>
    </xf>
    <xf numFmtId="0" fontId="0" fillId="0" borderId="24" xfId="0" applyBorder="1" applyProtection="1">
      <protection locked="0"/>
    </xf>
    <xf numFmtId="0" fontId="2" fillId="0" borderId="0" xfId="0" applyFont="1" applyAlignment="1" applyProtection="1">
      <alignment wrapText="1"/>
      <protection locked="0"/>
    </xf>
    <xf numFmtId="0" fontId="0" fillId="0" borderId="34" xfId="0" applyBorder="1" applyProtection="1">
      <protection locked="0"/>
    </xf>
    <xf numFmtId="164" fontId="0" fillId="0" borderId="30" xfId="1" applyNumberFormat="1" applyFont="1" applyBorder="1" applyProtection="1">
      <protection locked="0"/>
    </xf>
    <xf numFmtId="164" fontId="0" fillId="0" borderId="31" xfId="1" applyNumberFormat="1" applyFont="1" applyBorder="1" applyProtection="1">
      <protection locked="0"/>
    </xf>
    <xf numFmtId="0" fontId="0" fillId="0" borderId="6" xfId="0" applyBorder="1" applyAlignment="1" applyProtection="1">
      <alignment horizontal="left" vertical="top"/>
      <protection locked="0"/>
    </xf>
    <xf numFmtId="0" fontId="4" fillId="0" borderId="7" xfId="0" applyFont="1" applyBorder="1"/>
    <xf numFmtId="0" fontId="2" fillId="0" borderId="0" xfId="0" applyFont="1" applyAlignment="1">
      <alignment horizontal="center" wrapText="1"/>
    </xf>
    <xf numFmtId="0" fontId="2" fillId="6" borderId="0" xfId="0" applyFont="1" applyFill="1" applyAlignment="1">
      <alignment horizontal="center" wrapText="1"/>
    </xf>
    <xf numFmtId="164" fontId="2" fillId="6" borderId="1" xfId="1" applyNumberFormat="1" applyFont="1" applyFill="1" applyBorder="1" applyAlignment="1" applyProtection="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17" xfId="0" applyBorder="1"/>
    <xf numFmtId="0" fontId="0" fillId="0" borderId="18" xfId="0" applyBorder="1"/>
    <xf numFmtId="0" fontId="0" fillId="0" borderId="19" xfId="0" applyBorder="1"/>
    <xf numFmtId="0" fontId="0" fillId="0" borderId="5" xfId="0" applyBorder="1" applyAlignment="1" applyProtection="1">
      <alignment horizontal="right"/>
      <protection locked="0"/>
    </xf>
    <xf numFmtId="0" fontId="0" fillId="0" borderId="0" xfId="0" applyAlignment="1">
      <alignment horizontal="right"/>
    </xf>
    <xf numFmtId="0" fontId="0" fillId="5" borderId="5" xfId="0" applyFill="1" applyBorder="1" applyAlignment="1" applyProtection="1">
      <alignment horizontal="right"/>
      <protection locked="0"/>
    </xf>
    <xf numFmtId="0" fontId="0" fillId="5" borderId="0" xfId="0" applyFill="1" applyAlignment="1">
      <alignment horizontal="right"/>
    </xf>
    <xf numFmtId="0" fontId="2" fillId="6" borderId="5" xfId="0" applyFont="1" applyFill="1" applyBorder="1" applyAlignment="1" applyProtection="1">
      <alignment vertical="top" wrapText="1"/>
      <protection locked="0"/>
    </xf>
    <xf numFmtId="0" fontId="2" fillId="6" borderId="0" xfId="0" applyFont="1" applyFill="1" applyAlignment="1" applyProtection="1">
      <alignment vertical="top" wrapText="1"/>
      <protection locked="0"/>
    </xf>
    <xf numFmtId="0" fontId="0" fillId="6" borderId="0" xfId="0" applyFill="1" applyAlignment="1">
      <alignment vertical="top" wrapText="1"/>
    </xf>
    <xf numFmtId="0" fontId="0" fillId="6" borderId="6" xfId="0" applyFill="1" applyBorder="1" applyAlignment="1">
      <alignment vertical="top" wrapText="1"/>
    </xf>
    <xf numFmtId="0" fontId="0" fillId="0" borderId="0" xfId="0" applyAlignment="1" applyProtection="1">
      <alignment vertical="top" wrapText="1"/>
      <protection locked="0"/>
    </xf>
    <xf numFmtId="0" fontId="0" fillId="0" borderId="0" xfId="0" applyAlignment="1">
      <alignment vertical="top" wrapText="1"/>
    </xf>
    <xf numFmtId="0" fontId="0" fillId="0" borderId="21" xfId="0" applyBorder="1" applyAlignment="1">
      <alignment vertical="top" wrapText="1"/>
    </xf>
    <xf numFmtId="0" fontId="0" fillId="0" borderId="0" xfId="0" applyAlignment="1" applyProtection="1">
      <alignment wrapText="1"/>
      <protection locked="0"/>
    </xf>
    <xf numFmtId="0" fontId="0" fillId="0" borderId="0" xfId="0" applyAlignment="1">
      <alignment wrapText="1"/>
    </xf>
    <xf numFmtId="0" fontId="0" fillId="0" borderId="21" xfId="0" applyBorder="1" applyAlignment="1">
      <alignment wrapText="1"/>
    </xf>
    <xf numFmtId="0" fontId="2" fillId="0" borderId="1" xfId="0" applyFont="1" applyBorder="1" applyAlignment="1" applyProtection="1">
      <alignment wrapText="1"/>
      <protection locked="0"/>
    </xf>
    <xf numFmtId="0" fontId="0" fillId="0" borderId="1" xfId="0" applyBorder="1" applyAlignment="1">
      <alignment wrapText="1"/>
    </xf>
    <xf numFmtId="0" fontId="0" fillId="0" borderId="1" xfId="0" applyBorder="1"/>
    <xf numFmtId="0" fontId="0" fillId="0" borderId="1" xfId="0" applyBorder="1" applyProtection="1">
      <protection locked="0"/>
    </xf>
    <xf numFmtId="0" fontId="2" fillId="0" borderId="20" xfId="0" applyFont="1" applyBorder="1" applyAlignment="1" applyProtection="1">
      <alignment wrapText="1"/>
      <protection locked="0"/>
    </xf>
    <xf numFmtId="0" fontId="0" fillId="0" borderId="13" xfId="0" applyBorder="1"/>
    <xf numFmtId="0" fontId="0" fillId="0" borderId="14" xfId="0" applyBorder="1"/>
    <xf numFmtId="0" fontId="0" fillId="0" borderId="20" xfId="0" applyBorder="1" applyAlignment="1" applyProtection="1">
      <alignment wrapText="1"/>
      <protection locked="0"/>
    </xf>
    <xf numFmtId="0" fontId="0" fillId="0" borderId="1" xfId="0" applyBorder="1" applyAlignment="1" applyProtection="1">
      <alignment wrapText="1"/>
      <protection locked="0"/>
    </xf>
  </cellXfs>
  <cellStyles count="3">
    <cellStyle name="Comma" xfId="1" builtinId="3"/>
    <cellStyle name="Currency" xfId="2" builtinId="4"/>
    <cellStyle name="Normal" xfId="0" builtinId="0"/>
  </cellStyles>
  <dxfs count="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87DC-A095-40E6-BB59-E4B08785034F}">
  <dimension ref="A1:I22"/>
  <sheetViews>
    <sheetView zoomScale="140" zoomScaleNormal="140" workbookViewId="0">
      <selection sqref="A1:E1048576"/>
    </sheetView>
  </sheetViews>
  <sheetFormatPr defaultRowHeight="14.5" x14ac:dyDescent="0.35"/>
  <cols>
    <col min="1" max="1" width="8.1796875" customWidth="1"/>
    <col min="2" max="2" width="24.1796875" bestFit="1" customWidth="1"/>
    <col min="3" max="3" width="13" style="1" customWidth="1"/>
    <col min="4" max="4" width="12.453125" hidden="1" customWidth="1"/>
    <col min="6" max="6" width="12.26953125" bestFit="1" customWidth="1"/>
  </cols>
  <sheetData>
    <row r="1" spans="1:5" ht="30" customHeight="1" thickBot="1" x14ac:dyDescent="0.4">
      <c r="A1" s="16" t="s">
        <v>9</v>
      </c>
      <c r="B1" s="17"/>
      <c r="C1" s="18"/>
      <c r="D1" s="17"/>
      <c r="E1" s="19"/>
    </row>
    <row r="2" spans="1:5" x14ac:dyDescent="0.35">
      <c r="A2" s="4"/>
      <c r="B2" s="5"/>
      <c r="C2" s="6"/>
      <c r="D2" s="5"/>
      <c r="E2" s="7"/>
    </row>
    <row r="3" spans="1:5" x14ac:dyDescent="0.35">
      <c r="A3" s="8"/>
      <c r="B3" s="15" t="s">
        <v>6</v>
      </c>
      <c r="C3" s="2">
        <v>20000</v>
      </c>
      <c r="E3" s="9"/>
    </row>
    <row r="4" spans="1:5" x14ac:dyDescent="0.35">
      <c r="A4" s="8"/>
      <c r="B4" s="15" t="s">
        <v>1</v>
      </c>
      <c r="C4" s="3">
        <v>45429</v>
      </c>
      <c r="D4">
        <f>IF(NETWORKDAYS(C4,(DATE(YEAR(C4),MONTH(C4),DAY(EOMONTH(C4,0)))))=0,0,NETWORKDAYS(C4,(DATE(YEAR(C4),MONTH(C4),DAY(EOMONTH(C4,0)))))/NETWORKDAYS(DATE(YEAR(C4),MONTH(C4),1),DATE(YEAR(C4),MONTH(C4),DAY(EOMONTH(C4,0)))))</f>
        <v>0.47826086956521741</v>
      </c>
      <c r="E4" s="9"/>
    </row>
    <row r="5" spans="1:5" x14ac:dyDescent="0.35">
      <c r="A5" s="8"/>
      <c r="B5" s="15" t="s">
        <v>0</v>
      </c>
      <c r="C5" s="3">
        <v>45520</v>
      </c>
      <c r="D5">
        <f>IF(NETWORKDAYS(DATE(YEAR(C5),MONTH(C5),1),C5)=0,0,(NETWORKDAYS(DATE(YEAR(C5),MONTH(C5),1),C5))/NETWORKDAYS(DATE(YEAR(C5),MONTH(C5),1),DATE(YEAR(C5),MONTH(C5),DAY(EOMONTH(C5,0)))))</f>
        <v>0.54545454545454541</v>
      </c>
      <c r="E5" s="9"/>
    </row>
    <row r="6" spans="1:5" x14ac:dyDescent="0.35">
      <c r="A6" s="8"/>
      <c r="E6" s="9"/>
    </row>
    <row r="7" spans="1:5" hidden="1" x14ac:dyDescent="0.35">
      <c r="A7" s="8"/>
      <c r="B7" t="s">
        <v>2</v>
      </c>
      <c r="C7" s="20">
        <f>ROUND(C3/SUM(D4:D7)*12,4)</f>
        <v>79372.548999999999</v>
      </c>
      <c r="D7">
        <f>(YEAR(C5)-YEAR(C4))*12-MONTH(C4)+MONTH(C5)-1</f>
        <v>2</v>
      </c>
      <c r="E7" s="9"/>
    </row>
    <row r="8" spans="1:5" x14ac:dyDescent="0.35">
      <c r="A8" s="8"/>
      <c r="C8" s="10"/>
      <c r="E8" s="9"/>
    </row>
    <row r="9" spans="1:5" x14ac:dyDescent="0.35">
      <c r="A9" s="8"/>
      <c r="B9" t="s">
        <v>3</v>
      </c>
      <c r="C9" s="10">
        <f>TRUNC(C7/12,2)</f>
        <v>6614.37</v>
      </c>
      <c r="E9" s="9"/>
    </row>
    <row r="10" spans="1:5" x14ac:dyDescent="0.35">
      <c r="A10" s="8"/>
      <c r="B10" t="s">
        <v>4</v>
      </c>
      <c r="C10" s="10">
        <f>ROUND(C9*D4,2)</f>
        <v>3163.39</v>
      </c>
      <c r="E10" s="9"/>
    </row>
    <row r="11" spans="1:5" x14ac:dyDescent="0.35">
      <c r="A11" s="8"/>
      <c r="B11" t="s">
        <v>0</v>
      </c>
      <c r="C11" s="10">
        <f>TRUNC(C9*D5,2)</f>
        <v>3607.83</v>
      </c>
      <c r="E11" s="9"/>
    </row>
    <row r="12" spans="1:5" x14ac:dyDescent="0.35">
      <c r="A12" s="8"/>
      <c r="C12" s="10"/>
      <c r="E12" s="9"/>
    </row>
    <row r="13" spans="1:5" x14ac:dyDescent="0.35">
      <c r="A13" s="8"/>
      <c r="B13" t="s">
        <v>5</v>
      </c>
      <c r="C13" s="10">
        <f>C9*D7+SUM(C10:C11)</f>
        <v>19999.96</v>
      </c>
      <c r="E13" s="9"/>
    </row>
    <row r="14" spans="1:5" ht="15" thickBot="1" x14ac:dyDescent="0.4">
      <c r="A14" s="11"/>
      <c r="B14" s="12"/>
      <c r="C14" s="13"/>
      <c r="D14" s="12"/>
      <c r="E14" s="14"/>
    </row>
    <row r="19" spans="3:9" x14ac:dyDescent="0.35">
      <c r="C19" s="21"/>
    </row>
    <row r="20" spans="3:9" hidden="1" x14ac:dyDescent="0.35">
      <c r="F20" t="s">
        <v>7</v>
      </c>
      <c r="G20" t="s">
        <v>8</v>
      </c>
    </row>
    <row r="21" spans="3:9" hidden="1" x14ac:dyDescent="0.35">
      <c r="F21">
        <f>16/31</f>
        <v>0.5161290322580645</v>
      </c>
      <c r="G21">
        <f>12/23</f>
        <v>0.52173913043478259</v>
      </c>
      <c r="I21">
        <f>G21-F21</f>
        <v>5.6100981767180924E-3</v>
      </c>
    </row>
    <row r="22" spans="3:9" x14ac:dyDescent="0.35">
      <c r="C22" s="21"/>
      <c r="D22"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2C3B1-F593-4BED-88F9-67DBD32418B2}">
  <dimension ref="A1:P38"/>
  <sheetViews>
    <sheetView tabSelected="1" zoomScaleNormal="100" workbookViewId="0">
      <selection activeCell="B4" sqref="B4"/>
    </sheetView>
  </sheetViews>
  <sheetFormatPr defaultColWidth="8.7265625" defaultRowHeight="14.5" x14ac:dyDescent="0.35"/>
  <cols>
    <col min="1" max="1" width="8.1796875" style="26" customWidth="1"/>
    <col min="2" max="3" width="9" style="26" customWidth="1"/>
    <col min="4" max="4" width="5.453125" style="27" bestFit="1" customWidth="1"/>
    <col min="5" max="5" width="9.1796875" style="27" hidden="1" customWidth="1"/>
    <col min="6" max="6" width="10" style="27" customWidth="1"/>
    <col min="7" max="7" width="9.26953125" style="27" bestFit="1" customWidth="1"/>
    <col min="8" max="8" width="12.6328125" style="28" customWidth="1"/>
    <col min="9" max="10" width="9.1796875" style="41" hidden="1" customWidth="1"/>
    <col min="11" max="12" width="9.1796875" style="26" customWidth="1"/>
    <col min="13" max="14" width="9.1796875" style="41" customWidth="1"/>
    <col min="15" max="15" width="11.7265625" style="26" customWidth="1"/>
    <col min="16" max="16384" width="8.7265625" style="26"/>
  </cols>
  <sheetData>
    <row r="1" spans="1:16" ht="15" thickBot="1" x14ac:dyDescent="0.4">
      <c r="A1" s="42" t="s">
        <v>10</v>
      </c>
      <c r="B1" s="43"/>
      <c r="C1" s="43"/>
      <c r="D1" s="44"/>
      <c r="E1" s="44"/>
      <c r="F1" s="44"/>
      <c r="G1" s="44"/>
      <c r="H1" s="45"/>
      <c r="I1" s="43"/>
      <c r="J1" s="43"/>
      <c r="K1" s="42"/>
      <c r="L1" s="46"/>
      <c r="M1" s="43"/>
      <c r="N1" s="43"/>
      <c r="O1" s="81"/>
    </row>
    <row r="2" spans="1:16" x14ac:dyDescent="0.35">
      <c r="A2" s="47"/>
      <c r="B2" s="48"/>
      <c r="C2" s="48"/>
      <c r="D2" s="49"/>
      <c r="E2" s="49"/>
      <c r="F2" s="49"/>
      <c r="G2" s="49"/>
      <c r="H2" s="50"/>
      <c r="I2" s="48"/>
      <c r="J2" s="26"/>
      <c r="K2" s="66"/>
      <c r="L2" s="82"/>
      <c r="M2" s="48"/>
      <c r="N2" s="26"/>
      <c r="O2" s="72"/>
      <c r="P2" s="66"/>
    </row>
    <row r="3" spans="1:16" x14ac:dyDescent="0.35">
      <c r="A3" s="25"/>
      <c r="F3" s="73" t="s">
        <v>28</v>
      </c>
      <c r="H3" s="51"/>
      <c r="I3" s="26"/>
      <c r="J3" s="26"/>
      <c r="K3" s="66"/>
      <c r="L3" s="66"/>
      <c r="M3" s="26"/>
      <c r="N3" s="26"/>
      <c r="O3" s="114"/>
      <c r="P3" s="66"/>
    </row>
    <row r="4" spans="1:16" x14ac:dyDescent="0.35">
      <c r="A4" s="25"/>
      <c r="F4" s="73" t="s">
        <v>29</v>
      </c>
      <c r="H4" s="51"/>
      <c r="I4" s="26"/>
      <c r="J4" s="26"/>
      <c r="K4" s="66"/>
      <c r="L4" s="66"/>
      <c r="M4" s="26"/>
      <c r="N4" s="26"/>
      <c r="O4" s="114"/>
      <c r="P4" s="66"/>
    </row>
    <row r="5" spans="1:16" x14ac:dyDescent="0.35">
      <c r="A5" s="25"/>
      <c r="I5" s="26"/>
      <c r="J5" s="26"/>
      <c r="K5" s="66"/>
      <c r="L5" s="66"/>
      <c r="M5" s="26"/>
      <c r="N5" s="26"/>
      <c r="O5" s="114"/>
      <c r="P5" s="66"/>
    </row>
    <row r="6" spans="1:16" x14ac:dyDescent="0.35">
      <c r="A6" s="124" t="s">
        <v>31</v>
      </c>
      <c r="B6" s="125"/>
      <c r="C6" s="125"/>
      <c r="D6" s="125"/>
      <c r="E6" s="125"/>
      <c r="F6" s="125"/>
      <c r="H6" s="23">
        <v>90000</v>
      </c>
      <c r="I6" s="26"/>
      <c r="J6" s="26"/>
      <c r="K6" s="66"/>
      <c r="L6" s="66"/>
      <c r="M6" s="26"/>
      <c r="N6" s="26"/>
      <c r="O6" s="114"/>
      <c r="P6" s="66"/>
    </row>
    <row r="7" spans="1:16" x14ac:dyDescent="0.35">
      <c r="A7" s="124" t="s">
        <v>11</v>
      </c>
      <c r="B7" s="125"/>
      <c r="C7" s="125"/>
      <c r="D7" s="125"/>
      <c r="E7" s="125"/>
      <c r="F7" s="125"/>
      <c r="H7" s="53">
        <f>H6/3</f>
        <v>30000</v>
      </c>
      <c r="I7" s="26"/>
      <c r="J7" s="26"/>
      <c r="K7" s="66"/>
      <c r="L7" s="66"/>
      <c r="M7" s="26"/>
      <c r="N7" s="26"/>
      <c r="O7" s="114"/>
      <c r="P7" s="66"/>
    </row>
    <row r="8" spans="1:16" x14ac:dyDescent="0.35">
      <c r="A8" s="124" t="s">
        <v>19</v>
      </c>
      <c r="B8" s="125"/>
      <c r="C8" s="125"/>
      <c r="D8" s="125"/>
      <c r="E8" s="125"/>
      <c r="F8" s="125"/>
      <c r="H8" s="53">
        <f>H6/9</f>
        <v>10000</v>
      </c>
      <c r="I8" s="62"/>
      <c r="J8" s="62"/>
      <c r="K8" s="66"/>
      <c r="L8" s="66"/>
      <c r="M8" s="62"/>
      <c r="N8" s="62"/>
      <c r="O8" s="114"/>
      <c r="P8" s="66"/>
    </row>
    <row r="9" spans="1:16" x14ac:dyDescent="0.35">
      <c r="A9" s="126" t="s">
        <v>32</v>
      </c>
      <c r="B9" s="127"/>
      <c r="C9" s="127"/>
      <c r="D9" s="127"/>
      <c r="E9" s="127"/>
      <c r="F9" s="127"/>
      <c r="G9" s="86"/>
      <c r="H9" s="56"/>
      <c r="I9" s="26"/>
      <c r="J9" s="26"/>
      <c r="K9" s="66"/>
      <c r="L9" s="66"/>
      <c r="M9" s="26"/>
      <c r="N9" s="26"/>
      <c r="O9" s="114"/>
      <c r="P9" s="66"/>
    </row>
    <row r="10" spans="1:16" x14ac:dyDescent="0.35">
      <c r="A10" s="25"/>
      <c r="H10" s="35"/>
      <c r="I10" s="26"/>
      <c r="J10" s="26"/>
      <c r="K10" s="66"/>
      <c r="L10" s="66"/>
      <c r="M10" s="26"/>
      <c r="N10" s="26"/>
      <c r="O10" s="114"/>
      <c r="P10" s="66"/>
    </row>
    <row r="11" spans="1:16" ht="62.15" customHeight="1" x14ac:dyDescent="0.35">
      <c r="A11" s="128" t="s">
        <v>56</v>
      </c>
      <c r="B11" s="129"/>
      <c r="C11" s="129"/>
      <c r="D11" s="129"/>
      <c r="E11" s="129"/>
      <c r="F11" s="129"/>
      <c r="G11" s="129"/>
      <c r="H11" s="129"/>
      <c r="I11" s="129"/>
      <c r="J11" s="130"/>
      <c r="K11" s="130"/>
      <c r="L11" s="130"/>
      <c r="M11" s="130"/>
      <c r="N11" s="130"/>
      <c r="O11" s="131"/>
      <c r="P11" s="66"/>
    </row>
    <row r="12" spans="1:16" ht="15.5" customHeight="1" thickBot="1" x14ac:dyDescent="0.4">
      <c r="A12" s="25"/>
      <c r="I12" s="61"/>
      <c r="J12" s="26"/>
      <c r="L12" s="61"/>
      <c r="M12" s="26"/>
      <c r="N12" s="26"/>
      <c r="O12" s="30"/>
    </row>
    <row r="13" spans="1:16" ht="43.5" x14ac:dyDescent="0.35">
      <c r="A13" s="25"/>
      <c r="B13" s="67" t="s">
        <v>1</v>
      </c>
      <c r="C13" s="67" t="s">
        <v>16</v>
      </c>
      <c r="D13" s="116" t="s">
        <v>17</v>
      </c>
      <c r="E13" s="116"/>
      <c r="F13" s="117" t="s">
        <v>45</v>
      </c>
      <c r="G13" s="116" t="s">
        <v>21</v>
      </c>
      <c r="H13" s="118" t="s">
        <v>39</v>
      </c>
      <c r="I13" s="119" t="s">
        <v>30</v>
      </c>
      <c r="J13" s="120" t="s">
        <v>35</v>
      </c>
      <c r="K13" s="87" t="s">
        <v>33</v>
      </c>
      <c r="L13" s="88" t="s">
        <v>34</v>
      </c>
      <c r="M13" s="97" t="s">
        <v>37</v>
      </c>
      <c r="N13" s="98" t="s">
        <v>55</v>
      </c>
      <c r="O13" s="99" t="s">
        <v>44</v>
      </c>
    </row>
    <row r="14" spans="1:16" x14ac:dyDescent="0.35">
      <c r="A14" s="52" t="s">
        <v>12</v>
      </c>
      <c r="B14" s="24">
        <v>45425</v>
      </c>
      <c r="C14" s="68">
        <v>45443</v>
      </c>
      <c r="D14" s="69">
        <f>NETWORKDAYS(B14,C14)</f>
        <v>15</v>
      </c>
      <c r="E14" s="69">
        <f>NETWORKDAYS(DATE(YEAR(B14),MONTH(B14),1),DATE(YEAR(C14),MONTH(C14),DAY(EOMONTH(C14,0))))</f>
        <v>23</v>
      </c>
      <c r="F14" s="69">
        <f>ROUND($H$8/(NETWORKDAYS(DATE(YEAR(B14),MONTH(B14),1),DATE(YEAR(C14),MONTH(C14),DAY(EOMONTH(C14,0))))),2)</f>
        <v>434.78</v>
      </c>
      <c r="G14" s="70">
        <f>IF(((F14*D14)+(F17*D17))&gt;(H7-(H15+H16)),ROUND(F14*((H7-H15-H16)/(D14*F14+D17*F17)),4)," ")</f>
        <v>363.03370000000001</v>
      </c>
      <c r="H14" s="54">
        <f>IF(G14=" ",ROUND(D14*F14,0),ROUND(G14*D14,0))</f>
        <v>5446</v>
      </c>
      <c r="I14" s="121">
        <v>3000</v>
      </c>
      <c r="J14" s="75">
        <f>IF(ISBLANK(I14)," ",IF(G14=" ",ROUND(I14/F14,2),ROUND(I14/G14,2)))</f>
        <v>8.26</v>
      </c>
      <c r="K14" s="89" t="str">
        <f>IF(ISBLANK($H$9)," ",IF($H$8*12&gt;$H$9,ROUND(IF(ISBLANK(M14),H14,M14)*($H$9/($H$8*12)),0)," "))</f>
        <v xml:space="preserve"> </v>
      </c>
      <c r="L14" s="90" t="str">
        <f>IF(ISBLANK($H$9)," ",IF(K14=" "," ",IF(ISBLANK(M14),H14,M14)-K14))</f>
        <v xml:space="preserve"> </v>
      </c>
      <c r="M14" s="79"/>
      <c r="N14" s="78"/>
      <c r="O14" s="84" t="str">
        <f>IF(ISBLANK(N14)," ",ROUND(M14/N14,2))</f>
        <v xml:space="preserve"> </v>
      </c>
    </row>
    <row r="15" spans="1:16" x14ac:dyDescent="0.35">
      <c r="A15" s="52" t="s">
        <v>13</v>
      </c>
      <c r="B15" s="68">
        <v>45444</v>
      </c>
      <c r="C15" s="68">
        <v>45473</v>
      </c>
      <c r="D15" s="69">
        <f t="shared" ref="D15:D17" si="0">NETWORKDAYS(B15,C15)</f>
        <v>20</v>
      </c>
      <c r="E15" s="69">
        <f t="shared" ref="E15:E17" si="1">NETWORKDAYS(DATE(YEAR(B15),MONTH(B15),1),DATE(YEAR(C15),MONTH(C15),DAY(EOMONTH(C15,0))))</f>
        <v>20</v>
      </c>
      <c r="F15" s="69">
        <f>ROUND($H$8/(NETWORKDAYS(DATE(YEAR(B15),MONTH(B15),1),DATE(YEAR(C15),MONTH(C15),DAY(EOMONTH(C15,0))))),2)</f>
        <v>500</v>
      </c>
      <c r="G15" s="70" t="str">
        <f>" "</f>
        <v xml:space="preserve"> </v>
      </c>
      <c r="H15" s="54">
        <f>ROUND(F15*D15,0)</f>
        <v>10000</v>
      </c>
      <c r="I15" s="122"/>
      <c r="J15" s="76" t="str">
        <f t="shared" ref="J15:J17" si="2">IF(ISBLANK(I15)," ",IF(G15=" ",ROUND(I15/F15,2),ROUND(I15/G15,2)))</f>
        <v xml:space="preserve"> </v>
      </c>
      <c r="K15" s="91" t="str">
        <f>IF(ISBLANK($H$9)," ",IF($H$8*12&gt;$H$9,ROUND(H15*($H$9/($H$8*12)),0)," "))</f>
        <v xml:space="preserve"> </v>
      </c>
      <c r="L15" s="92" t="str">
        <f>IF(ISBLANK($H$9)," ",IF(K15=" "," ",H15-K15))</f>
        <v xml:space="preserve"> </v>
      </c>
      <c r="M15" s="79"/>
      <c r="N15" s="78"/>
      <c r="O15" s="84" t="str">
        <f>IF(ISBLANK(N15)," ",ROUND(M15/N15,2))</f>
        <v xml:space="preserve"> </v>
      </c>
    </row>
    <row r="16" spans="1:16" x14ac:dyDescent="0.35">
      <c r="A16" s="52" t="s">
        <v>14</v>
      </c>
      <c r="B16" s="68">
        <v>45474</v>
      </c>
      <c r="C16" s="68">
        <v>45504</v>
      </c>
      <c r="D16" s="69">
        <f t="shared" si="0"/>
        <v>23</v>
      </c>
      <c r="E16" s="69">
        <f t="shared" si="1"/>
        <v>23</v>
      </c>
      <c r="F16" s="69">
        <f>ROUND($H$8/(NETWORKDAYS(DATE(YEAR(B16),MONTH(B16),1),DATE(YEAR(C16),MONTH(C16),DAY(EOMONTH(C16,0))))),2)</f>
        <v>434.78</v>
      </c>
      <c r="G16" s="70" t="str">
        <f>" "</f>
        <v xml:space="preserve"> </v>
      </c>
      <c r="H16" s="54">
        <f>ROUND(F16*D16,0)</f>
        <v>10000</v>
      </c>
      <c r="I16" s="122"/>
      <c r="J16" s="76" t="str">
        <f t="shared" si="2"/>
        <v xml:space="preserve"> </v>
      </c>
      <c r="K16" s="91" t="str">
        <f>IF(ISBLANK($H$9)," ",IF($H$8*12&gt;$H$9,ROUND(H16*($H$9/($H$8*12)),0)," "))</f>
        <v xml:space="preserve"> </v>
      </c>
      <c r="L16" s="92" t="str">
        <f>IF(ISBLANK($H$9)," ",IF(K16=" "," ",H16-K16))</f>
        <v xml:space="preserve"> </v>
      </c>
      <c r="M16" s="79"/>
      <c r="N16" s="78"/>
      <c r="O16" s="84" t="str">
        <f>IF(ISBLANK(N16)," ",ROUND(M16/N16,2))</f>
        <v xml:space="preserve"> </v>
      </c>
    </row>
    <row r="17" spans="1:15" ht="15" thickBot="1" x14ac:dyDescent="0.4">
      <c r="A17" s="52" t="s">
        <v>15</v>
      </c>
      <c r="B17" s="68">
        <v>45505</v>
      </c>
      <c r="C17" s="24">
        <v>45520</v>
      </c>
      <c r="D17" s="69">
        <f t="shared" si="0"/>
        <v>12</v>
      </c>
      <c r="E17" s="69">
        <f t="shared" si="1"/>
        <v>22</v>
      </c>
      <c r="F17" s="69">
        <f>ROUND($H$8/(NETWORKDAYS(DATE(YEAR(B17),MONTH(B17),1),DATE(YEAR(C17),MONTH(C17),DAY(EOMONTH(C17,0))))),2)</f>
        <v>454.55</v>
      </c>
      <c r="G17" s="70">
        <f>IF(((F14*D14)+(F17*D17))&gt;(H7-(H15+H16)),ROUND(F17*((H7-H15-H16)/(D14*F14+D17*F17)),4)," ")</f>
        <v>379.54129999999998</v>
      </c>
      <c r="H17" s="55">
        <f>IF(G17=" ",ROUND(D17*F17,0),ROUND(G17*D17,0))</f>
        <v>4554</v>
      </c>
      <c r="I17" s="123"/>
      <c r="J17" s="77" t="str">
        <f t="shared" si="2"/>
        <v xml:space="preserve"> </v>
      </c>
      <c r="K17" s="93" t="str">
        <f>IF(ISBLANK($H$9)," ",IF($H$8*12&gt;$H$9,ROUND(H17*($H$9/($H$8*12)),0)," "))</f>
        <v xml:space="preserve"> </v>
      </c>
      <c r="L17" s="94" t="str">
        <f>IF(ISBLANK($H$9)," ",IF(K17=" "," ",H17-K17))</f>
        <v xml:space="preserve"> </v>
      </c>
      <c r="M17" s="80"/>
      <c r="N17" s="83"/>
      <c r="O17" s="85" t="str">
        <f>IF(ISBLANK(N17)," ",ROUND(M17/N17,2))</f>
        <v xml:space="preserve"> </v>
      </c>
    </row>
    <row r="18" spans="1:15" ht="30.65" customHeight="1" x14ac:dyDescent="0.35">
      <c r="A18" s="25"/>
      <c r="H18" s="35"/>
      <c r="I18" s="63"/>
      <c r="J18" s="26"/>
      <c r="L18" s="63"/>
      <c r="M18" s="26"/>
      <c r="N18" s="26"/>
      <c r="O18" s="30"/>
    </row>
    <row r="19" spans="1:15" x14ac:dyDescent="0.35">
      <c r="A19" s="52" t="s">
        <v>5</v>
      </c>
      <c r="H19" s="53">
        <f>SUM(IF(OR(ISBLANK(M14),M14=0),H14,M14),IF(OR(ISBLANK(M15),M15=0),H15,M15),IF(OR(ISBLANK(M16),M16=0),H16,M16),IF(OR(ISBLANK(M17),M17=0),H17,M17))</f>
        <v>30000</v>
      </c>
      <c r="I19" s="26"/>
      <c r="J19" s="26"/>
      <c r="M19" s="26"/>
      <c r="N19" s="26"/>
      <c r="O19" s="30"/>
    </row>
    <row r="20" spans="1:15" x14ac:dyDescent="0.35">
      <c r="A20" s="25"/>
      <c r="H20" s="35"/>
      <c r="I20" s="26"/>
      <c r="J20" s="26"/>
      <c r="M20" s="26"/>
      <c r="N20" s="26"/>
      <c r="O20" s="30"/>
    </row>
    <row r="21" spans="1:15" x14ac:dyDescent="0.35">
      <c r="A21" s="52" t="s">
        <v>20</v>
      </c>
      <c r="H21" s="53">
        <f>H7</f>
        <v>30000</v>
      </c>
      <c r="I21" s="26"/>
      <c r="J21" s="26"/>
      <c r="M21" s="26"/>
      <c r="N21" s="26"/>
      <c r="O21" s="30"/>
    </row>
    <row r="22" spans="1:15" x14ac:dyDescent="0.35">
      <c r="A22" s="25"/>
      <c r="B22" s="71"/>
      <c r="H22" s="35"/>
      <c r="I22" s="26"/>
      <c r="J22" s="26"/>
      <c r="M22" s="26"/>
      <c r="N22" s="26"/>
      <c r="O22" s="30"/>
    </row>
    <row r="23" spans="1:15" ht="15" thickBot="1" x14ac:dyDescent="0.4">
      <c r="A23" s="115" t="s">
        <v>65</v>
      </c>
      <c r="B23" s="37"/>
      <c r="C23" s="37"/>
      <c r="D23" s="38"/>
      <c r="E23" s="38"/>
      <c r="F23" s="38"/>
      <c r="G23" s="38"/>
      <c r="H23" s="39"/>
      <c r="I23" s="37"/>
      <c r="J23" s="37"/>
      <c r="K23" s="37"/>
      <c r="L23" s="37"/>
      <c r="M23" s="37"/>
      <c r="N23" s="37"/>
      <c r="O23" s="40"/>
    </row>
    <row r="24" spans="1:15" x14ac:dyDescent="0.35">
      <c r="A24" s="25"/>
      <c r="I24" s="64"/>
      <c r="L24" s="48"/>
      <c r="M24" s="64"/>
      <c r="O24" s="30"/>
    </row>
    <row r="25" spans="1:15" x14ac:dyDescent="0.35">
      <c r="A25" s="29" t="s">
        <v>22</v>
      </c>
      <c r="D25" s="26"/>
      <c r="E25" s="26"/>
      <c r="F25" s="26"/>
      <c r="G25" s="26"/>
      <c r="H25" s="26"/>
      <c r="I25" s="26"/>
      <c r="J25" s="26"/>
      <c r="M25" s="26"/>
      <c r="N25" s="26"/>
      <c r="O25" s="30"/>
    </row>
    <row r="26" spans="1:15" x14ac:dyDescent="0.35">
      <c r="A26" s="29"/>
      <c r="D26" s="26"/>
      <c r="E26" s="26"/>
      <c r="F26" s="26"/>
      <c r="G26" s="26"/>
      <c r="H26" s="26"/>
      <c r="I26" s="26"/>
      <c r="J26" s="26"/>
      <c r="M26" s="26"/>
      <c r="N26" s="26"/>
      <c r="O26" s="30"/>
    </row>
    <row r="27" spans="1:15" x14ac:dyDescent="0.35">
      <c r="A27" s="31" t="s">
        <v>23</v>
      </c>
      <c r="D27" s="26"/>
      <c r="E27" s="26"/>
      <c r="F27" s="26"/>
      <c r="G27" s="26"/>
      <c r="H27" s="26"/>
      <c r="I27" s="26"/>
      <c r="J27" s="26"/>
      <c r="M27" s="26"/>
      <c r="N27" s="26"/>
      <c r="O27" s="30"/>
    </row>
    <row r="28" spans="1:15" x14ac:dyDescent="0.35">
      <c r="A28" s="31"/>
      <c r="D28" s="26"/>
      <c r="E28" s="26"/>
      <c r="F28" s="26"/>
      <c r="G28" s="26"/>
      <c r="H28" s="26"/>
      <c r="I28" s="26"/>
      <c r="J28" s="26"/>
      <c r="M28" s="26"/>
      <c r="N28" s="26"/>
      <c r="O28" s="30"/>
    </row>
    <row r="29" spans="1:15" x14ac:dyDescent="0.35">
      <c r="A29" s="31" t="s">
        <v>24</v>
      </c>
      <c r="D29" s="26"/>
      <c r="E29" s="26"/>
      <c r="F29" s="26"/>
      <c r="G29" s="26"/>
      <c r="H29" s="26"/>
      <c r="I29" s="26"/>
      <c r="J29" s="26"/>
      <c r="M29" s="26"/>
      <c r="N29" s="26"/>
      <c r="O29" s="30"/>
    </row>
    <row r="30" spans="1:15" x14ac:dyDescent="0.35">
      <c r="A30" s="31"/>
      <c r="B30" s="26" t="s">
        <v>25</v>
      </c>
      <c r="D30" s="26"/>
      <c r="E30" s="26"/>
      <c r="F30" s="26"/>
      <c r="G30" s="26"/>
      <c r="H30" s="26"/>
      <c r="I30" s="26"/>
      <c r="J30" s="26"/>
      <c r="M30" s="26"/>
      <c r="N30" s="26"/>
      <c r="O30" s="30"/>
    </row>
    <row r="31" spans="1:15" x14ac:dyDescent="0.35">
      <c r="A31" s="31"/>
      <c r="D31" s="26"/>
      <c r="E31" s="26"/>
      <c r="F31" s="26"/>
      <c r="G31" s="26"/>
      <c r="H31" s="26"/>
      <c r="I31" s="26"/>
      <c r="J31" s="26"/>
      <c r="M31" s="26"/>
      <c r="N31" s="26"/>
      <c r="O31" s="30"/>
    </row>
    <row r="32" spans="1:15" x14ac:dyDescent="0.35">
      <c r="A32" s="32" t="s">
        <v>26</v>
      </c>
      <c r="D32" s="26"/>
      <c r="E32" s="26"/>
      <c r="F32" s="26"/>
      <c r="G32" s="26"/>
      <c r="H32" s="26"/>
      <c r="I32" s="26"/>
      <c r="J32" s="26"/>
      <c r="M32" s="26"/>
      <c r="N32" s="26"/>
      <c r="O32" s="30"/>
    </row>
    <row r="33" spans="1:15" x14ac:dyDescent="0.35">
      <c r="A33" s="32"/>
      <c r="D33" s="26"/>
      <c r="E33" s="26"/>
      <c r="F33" s="26"/>
      <c r="G33" s="26"/>
      <c r="H33" s="26"/>
      <c r="I33" s="26"/>
      <c r="J33" s="26"/>
      <c r="M33" s="26"/>
      <c r="N33" s="26"/>
      <c r="O33" s="30"/>
    </row>
    <row r="34" spans="1:15" x14ac:dyDescent="0.35">
      <c r="A34" s="25" t="s">
        <v>27</v>
      </c>
      <c r="D34" s="26"/>
      <c r="E34" s="26"/>
      <c r="F34" s="26"/>
      <c r="G34" s="26"/>
      <c r="H34" s="26"/>
      <c r="I34" s="26"/>
      <c r="J34" s="26"/>
      <c r="M34" s="26"/>
      <c r="N34" s="26"/>
      <c r="O34" s="30"/>
    </row>
    <row r="35" spans="1:15" x14ac:dyDescent="0.35">
      <c r="A35" s="25"/>
      <c r="D35" s="26"/>
      <c r="E35" s="26"/>
      <c r="F35" s="26"/>
      <c r="G35" s="26"/>
      <c r="H35" s="26"/>
      <c r="I35" s="26"/>
      <c r="J35" s="26"/>
      <c r="M35" s="26"/>
      <c r="N35" s="26"/>
      <c r="O35" s="30"/>
    </row>
    <row r="36" spans="1:15" x14ac:dyDescent="0.35">
      <c r="A36" s="25" t="s">
        <v>36</v>
      </c>
      <c r="D36" s="26"/>
      <c r="E36" s="26"/>
      <c r="F36" s="26"/>
      <c r="G36" s="26"/>
      <c r="H36" s="26"/>
      <c r="I36" s="26"/>
      <c r="J36" s="26"/>
      <c r="M36" s="26"/>
      <c r="N36" s="26"/>
      <c r="O36" s="30"/>
    </row>
    <row r="37" spans="1:15" x14ac:dyDescent="0.35">
      <c r="A37" s="25"/>
      <c r="D37" s="26"/>
      <c r="E37" s="26"/>
      <c r="F37" s="26"/>
      <c r="G37" s="26"/>
      <c r="H37" s="26"/>
      <c r="I37" s="26"/>
      <c r="J37" s="26"/>
      <c r="M37" s="26"/>
      <c r="N37" s="26"/>
      <c r="O37" s="30"/>
    </row>
    <row r="38" spans="1:15" ht="15" thickBot="1" x14ac:dyDescent="0.4">
      <c r="A38" s="33" t="s">
        <v>64</v>
      </c>
      <c r="B38" s="34"/>
      <c r="C38" s="34"/>
      <c r="D38" s="34"/>
      <c r="E38" s="34"/>
      <c r="F38" s="34"/>
      <c r="G38" s="34"/>
      <c r="H38" s="34"/>
      <c r="I38" s="34"/>
      <c r="J38" s="34"/>
      <c r="K38" s="37"/>
      <c r="L38" s="37"/>
      <c r="M38" s="34"/>
      <c r="N38" s="34"/>
      <c r="O38" s="40"/>
    </row>
  </sheetData>
  <sheetProtection algorithmName="SHA-512" hashValue="zsTbsWcD/lC00DA4ysQ+miqlTTIZL8Fs53xyS3DUlPhaskdpzTmMOUG+d7KeB8/7OQ+KOuKRM+czrOK/AAPTOQ==" saltValue="IPVdZH90q+LSK72MJXkJWA==" spinCount="100000" sheet="1" objects="1" scenarios="1"/>
  <mergeCells count="5">
    <mergeCell ref="A6:F6"/>
    <mergeCell ref="A7:F7"/>
    <mergeCell ref="A8:F8"/>
    <mergeCell ref="A9:F9"/>
    <mergeCell ref="A11:O11"/>
  </mergeCells>
  <conditionalFormatting sqref="K13:L17">
    <cfRule type="expression" dxfId="5" priority="1">
      <formula>($H$9)</formula>
    </cfRule>
  </conditionalFormatting>
  <dataValidations count="2">
    <dataValidation type="custom" allowBlank="1" showInputMessage="1" showErrorMessage="1" error="Please enter a date equal to or later than the Monday after commencement (5/13/2024)" sqref="B14" xr:uid="{726AAF68-6CCE-47CC-87BA-C62E1E09A6B3}">
      <formula1>B14&gt;DATE(2024,5,12)</formula1>
    </dataValidation>
    <dataValidation type="custom" allowBlank="1" showInputMessage="1" showErrorMessage="1" error="Please enter a date before fall classes begin." sqref="C17" xr:uid="{D002B5B2-5403-44C2-977A-692CF1F63A4B}">
      <formula1>C17&lt;DATE(2024,8,17)</formula1>
    </dataValidation>
  </dataValidations>
  <pageMargins left="0.7" right="0.7"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F8FA-3B71-42E8-A94F-E6C367E522FA}">
  <dimension ref="A1:V38"/>
  <sheetViews>
    <sheetView topLeftCell="A8" zoomScale="140" zoomScaleNormal="140" workbookViewId="0">
      <selection activeCell="H19" sqref="H19"/>
    </sheetView>
  </sheetViews>
  <sheetFormatPr defaultColWidth="8.7265625" defaultRowHeight="14.5" x14ac:dyDescent="0.35"/>
  <cols>
    <col min="1" max="1" width="8.1796875" style="26" customWidth="1"/>
    <col min="2" max="3" width="9" style="26" customWidth="1"/>
    <col min="4" max="4" width="6.453125" style="27" customWidth="1"/>
    <col min="5" max="5" width="9.1796875" style="27" hidden="1" customWidth="1"/>
    <col min="6" max="6" width="10.1796875" style="27" customWidth="1"/>
    <col min="7" max="7" width="9.26953125" style="27" bestFit="1" customWidth="1"/>
    <col min="8" max="8" width="12.7265625" style="28" customWidth="1"/>
    <col min="9" max="10" width="9.1796875" style="41" hidden="1" customWidth="1"/>
    <col min="11" max="12" width="9.1796875" style="26" customWidth="1"/>
    <col min="13" max="14" width="9.1796875" style="41" customWidth="1"/>
    <col min="15" max="15" width="9.54296875" style="26" customWidth="1"/>
    <col min="16" max="16" width="3" style="26" customWidth="1"/>
    <col min="17" max="17" width="32.81640625" style="26" customWidth="1"/>
    <col min="18" max="18" width="10.54296875" style="26" bestFit="1" customWidth="1"/>
    <col min="19" max="20" width="11.7265625" style="26" bestFit="1" customWidth="1"/>
    <col min="21" max="21" width="10.54296875" style="26" bestFit="1" customWidth="1"/>
    <col min="22" max="16384" width="8.7265625" style="26"/>
  </cols>
  <sheetData>
    <row r="1" spans="1:22" ht="15" thickBot="1" x14ac:dyDescent="0.4">
      <c r="A1" s="42" t="s">
        <v>10</v>
      </c>
      <c r="B1" s="43"/>
      <c r="C1" s="43"/>
      <c r="D1" s="44"/>
      <c r="E1" s="44"/>
      <c r="F1" s="44"/>
      <c r="G1" s="44"/>
      <c r="H1" s="45"/>
      <c r="I1" s="43"/>
      <c r="J1" s="43"/>
      <c r="K1" s="42"/>
      <c r="L1" s="46"/>
      <c r="M1" s="43"/>
      <c r="N1" s="43"/>
      <c r="O1" s="81"/>
    </row>
    <row r="2" spans="1:22" x14ac:dyDescent="0.35">
      <c r="A2" s="47"/>
      <c r="B2" s="48"/>
      <c r="C2" s="48"/>
      <c r="D2" s="49"/>
      <c r="E2" s="49"/>
      <c r="F2" s="49"/>
      <c r="G2" s="49"/>
      <c r="H2" s="50"/>
      <c r="I2" s="48"/>
      <c r="J2" s="26"/>
      <c r="K2" s="66"/>
      <c r="L2" s="82"/>
      <c r="M2" s="48"/>
      <c r="N2" s="26"/>
      <c r="O2" s="72"/>
      <c r="P2" s="57"/>
    </row>
    <row r="3" spans="1:22" x14ac:dyDescent="0.35">
      <c r="A3" s="25"/>
      <c r="F3" s="73" t="s">
        <v>28</v>
      </c>
      <c r="H3" s="51" t="s">
        <v>43</v>
      </c>
      <c r="I3" s="26"/>
      <c r="J3" s="26"/>
      <c r="K3" s="57"/>
      <c r="L3" s="57"/>
      <c r="M3" s="26"/>
      <c r="N3" s="26"/>
      <c r="O3" s="72"/>
      <c r="P3" s="57"/>
    </row>
    <row r="4" spans="1:22" x14ac:dyDescent="0.35">
      <c r="A4" s="25"/>
      <c r="F4" s="73" t="s">
        <v>29</v>
      </c>
      <c r="H4" s="51">
        <v>710000000</v>
      </c>
      <c r="I4" s="26"/>
      <c r="J4" s="26"/>
      <c r="K4" s="57"/>
      <c r="L4" s="57"/>
      <c r="M4" s="26"/>
      <c r="N4" s="26"/>
      <c r="O4" s="72"/>
      <c r="P4" s="57"/>
    </row>
    <row r="5" spans="1:22" x14ac:dyDescent="0.35">
      <c r="A5" s="25"/>
      <c r="I5" s="26"/>
      <c r="J5" s="26"/>
      <c r="K5" s="57"/>
      <c r="L5" s="57"/>
      <c r="M5" s="26"/>
      <c r="N5" s="26"/>
      <c r="O5" s="72"/>
      <c r="P5" s="57"/>
    </row>
    <row r="6" spans="1:22" x14ac:dyDescent="0.35">
      <c r="A6" s="124" t="s">
        <v>31</v>
      </c>
      <c r="B6" s="125"/>
      <c r="C6" s="125"/>
      <c r="D6" s="125"/>
      <c r="E6" s="125"/>
      <c r="F6" s="125"/>
      <c r="H6" s="23">
        <v>90000</v>
      </c>
      <c r="I6" s="26"/>
      <c r="J6" s="26"/>
      <c r="K6" s="57"/>
      <c r="L6" s="57"/>
      <c r="M6" s="26"/>
      <c r="N6" s="26"/>
      <c r="O6" s="72"/>
      <c r="P6" s="57"/>
    </row>
    <row r="7" spans="1:22" x14ac:dyDescent="0.35">
      <c r="A7" s="124" t="s">
        <v>11</v>
      </c>
      <c r="B7" s="125"/>
      <c r="C7" s="125"/>
      <c r="D7" s="125"/>
      <c r="E7" s="125"/>
      <c r="F7" s="125"/>
      <c r="H7" s="53">
        <f>H6/3</f>
        <v>30000</v>
      </c>
      <c r="I7" s="26"/>
      <c r="J7" s="26"/>
      <c r="K7" s="57"/>
      <c r="L7" s="57"/>
      <c r="M7" s="26"/>
      <c r="N7" s="26"/>
      <c r="O7" s="72"/>
      <c r="P7" s="57"/>
    </row>
    <row r="8" spans="1:22" x14ac:dyDescent="0.35">
      <c r="A8" s="124" t="s">
        <v>19</v>
      </c>
      <c r="B8" s="125"/>
      <c r="C8" s="125"/>
      <c r="D8" s="125"/>
      <c r="E8" s="125"/>
      <c r="F8" s="125"/>
      <c r="H8" s="53">
        <f>H6/9</f>
        <v>10000</v>
      </c>
      <c r="I8" s="62"/>
      <c r="J8" s="62"/>
      <c r="K8" s="57"/>
      <c r="L8" s="57"/>
      <c r="M8" s="62"/>
      <c r="N8" s="62"/>
      <c r="O8" s="72"/>
      <c r="P8" s="57"/>
    </row>
    <row r="9" spans="1:22" x14ac:dyDescent="0.35">
      <c r="A9" s="126" t="s">
        <v>32</v>
      </c>
      <c r="B9" s="127"/>
      <c r="C9" s="127"/>
      <c r="D9" s="127"/>
      <c r="E9" s="127"/>
      <c r="F9" s="127"/>
      <c r="G9" s="86"/>
      <c r="H9" s="56"/>
      <c r="I9" s="26"/>
      <c r="J9" s="26"/>
      <c r="K9" s="57"/>
      <c r="L9" s="57"/>
      <c r="M9" s="26"/>
      <c r="N9" s="26"/>
      <c r="O9" s="72"/>
      <c r="P9" s="57"/>
    </row>
    <row r="10" spans="1:22" x14ac:dyDescent="0.35">
      <c r="A10" s="25"/>
      <c r="H10" s="35"/>
      <c r="I10" s="26"/>
      <c r="J10" s="26"/>
      <c r="K10" s="57"/>
      <c r="L10" s="57"/>
      <c r="M10" s="26"/>
      <c r="N10" s="26"/>
      <c r="O10" s="72"/>
      <c r="P10" s="57"/>
    </row>
    <row r="11" spans="1:22" ht="61.5" customHeight="1" x14ac:dyDescent="0.35">
      <c r="A11" s="128" t="s">
        <v>54</v>
      </c>
      <c r="B11" s="129"/>
      <c r="C11" s="129"/>
      <c r="D11" s="129"/>
      <c r="E11" s="129"/>
      <c r="F11" s="129"/>
      <c r="G11" s="129"/>
      <c r="H11" s="129"/>
      <c r="I11" s="129"/>
      <c r="J11" s="130"/>
      <c r="K11" s="130"/>
      <c r="L11" s="130"/>
      <c r="M11" s="130"/>
      <c r="N11" s="130"/>
      <c r="O11" s="131"/>
      <c r="P11" s="57"/>
      <c r="Q11" s="132" t="s">
        <v>50</v>
      </c>
      <c r="R11" s="133"/>
      <c r="S11" s="133"/>
      <c r="T11" s="133"/>
      <c r="U11" s="133"/>
    </row>
    <row r="12" spans="1:22" ht="14.5" customHeight="1" thickBot="1" x14ac:dyDescent="0.4">
      <c r="A12" s="25"/>
      <c r="I12" s="61"/>
      <c r="J12" s="26"/>
      <c r="L12" s="61"/>
      <c r="M12" s="26"/>
      <c r="N12" s="26"/>
      <c r="O12" s="30"/>
      <c r="Q12" s="134"/>
      <c r="R12" s="134"/>
      <c r="S12" s="134"/>
      <c r="T12" s="134"/>
      <c r="U12" s="134"/>
      <c r="V12" s="110"/>
    </row>
    <row r="13" spans="1:22" ht="43.5" x14ac:dyDescent="0.35">
      <c r="A13" s="25"/>
      <c r="B13" s="67" t="s">
        <v>1</v>
      </c>
      <c r="C13" s="67" t="s">
        <v>16</v>
      </c>
      <c r="D13" s="67" t="s">
        <v>17</v>
      </c>
      <c r="E13" s="67"/>
      <c r="F13" s="95" t="s">
        <v>45</v>
      </c>
      <c r="G13" s="67" t="s">
        <v>21</v>
      </c>
      <c r="H13" s="96" t="s">
        <v>39</v>
      </c>
      <c r="I13" s="65" t="s">
        <v>30</v>
      </c>
      <c r="J13" s="74" t="s">
        <v>35</v>
      </c>
      <c r="K13" s="87" t="s">
        <v>33</v>
      </c>
      <c r="L13" s="88" t="s">
        <v>34</v>
      </c>
      <c r="M13" s="97" t="s">
        <v>37</v>
      </c>
      <c r="N13" s="98" t="s">
        <v>55</v>
      </c>
      <c r="O13" s="99" t="s">
        <v>44</v>
      </c>
      <c r="Q13" s="105" t="s">
        <v>53</v>
      </c>
      <c r="R13" s="111"/>
      <c r="U13" s="109"/>
    </row>
    <row r="14" spans="1:22" x14ac:dyDescent="0.35">
      <c r="A14" s="52" t="s">
        <v>12</v>
      </c>
      <c r="B14" s="24">
        <v>45425</v>
      </c>
      <c r="C14" s="68">
        <v>45443</v>
      </c>
      <c r="D14" s="69">
        <f>NETWORKDAYS(B14,C14)</f>
        <v>15</v>
      </c>
      <c r="E14" s="69">
        <f>NETWORKDAYS(DATE(YEAR(B14),MONTH(B14),1),DATE(YEAR(C14),MONTH(C14),DAY(EOMONTH(C14,0))))</f>
        <v>23</v>
      </c>
      <c r="F14" s="69">
        <f>ROUND($H$8/(NETWORKDAYS(DATE(YEAR(B14),MONTH(B14),1),DATE(YEAR(C14),MONTH(C14),DAY(EOMONTH(C14,0))))),2)</f>
        <v>434.78</v>
      </c>
      <c r="G14" s="70">
        <f>IF(((F14*D14)+(F17*D17))&gt;(H7-(H15+H16)),ROUND(F14*((H7-H15-H16)/(D14*F14+D17*F17)),4)," ")</f>
        <v>363.03370000000001</v>
      </c>
      <c r="H14" s="54">
        <f>IF(G14=" ",ROUND(D14*F14,0),ROUND(G14*D14,0))</f>
        <v>5446</v>
      </c>
      <c r="I14" s="58">
        <v>3000</v>
      </c>
      <c r="J14" s="75">
        <f>IF(ISBLANK(I14)," ",IF(G14=" ",ROUND(I14/F14,2),ROUND(I14/G14,2)))</f>
        <v>8.26</v>
      </c>
      <c r="K14" s="89" t="str">
        <f>IF(ISBLANK($H$9)," ",IF($H$8*12&gt;$H$9,ROUND(IF(ISBLANK(M14),H14,M14)*($H$9/($H$8*12)),0)," "))</f>
        <v xml:space="preserve"> </v>
      </c>
      <c r="L14" s="90" t="str">
        <f>IF(ISBLANK($H$9)," ",IF(K14=" "," ",IF(ISBLANK(M14),H14,M14)-K14))</f>
        <v xml:space="preserve"> </v>
      </c>
      <c r="M14" s="79"/>
      <c r="N14" s="78"/>
      <c r="O14" s="84" t="str">
        <f>IF(ISBLANK(N14)," ",ROUND(M14/N14,2))</f>
        <v xml:space="preserve"> </v>
      </c>
      <c r="Q14" s="78"/>
      <c r="R14" s="101" t="s">
        <v>12</v>
      </c>
      <c r="S14" s="101" t="s">
        <v>38</v>
      </c>
      <c r="T14" s="101" t="s">
        <v>14</v>
      </c>
      <c r="U14" s="101" t="s">
        <v>15</v>
      </c>
    </row>
    <row r="15" spans="1:22" x14ac:dyDescent="0.35">
      <c r="A15" s="52" t="s">
        <v>13</v>
      </c>
      <c r="B15" s="68">
        <v>45444</v>
      </c>
      <c r="C15" s="68">
        <v>45473</v>
      </c>
      <c r="D15" s="69">
        <f t="shared" ref="D15:D17" si="0">NETWORKDAYS(B15,C15)</f>
        <v>20</v>
      </c>
      <c r="E15" s="69">
        <f t="shared" ref="E15:E17" si="1">NETWORKDAYS(DATE(YEAR(B15),MONTH(B15),1),DATE(YEAR(C15),MONTH(C15),DAY(EOMONTH(C15,0))))</f>
        <v>20</v>
      </c>
      <c r="F15" s="69">
        <f>ROUND($H$8/(NETWORKDAYS(DATE(YEAR(B15),MONTH(B15),1),DATE(YEAR(C15),MONTH(C15),DAY(EOMONTH(C15,0))))),2)</f>
        <v>500</v>
      </c>
      <c r="G15" s="70" t="str">
        <f>" "</f>
        <v xml:space="preserve"> </v>
      </c>
      <c r="H15" s="54">
        <f>ROUND(F15*D15,0)</f>
        <v>10000</v>
      </c>
      <c r="I15" s="59"/>
      <c r="J15" s="76" t="str">
        <f t="shared" ref="J15:J17" si="2">IF(ISBLANK(I15)," ",IF(G15=" ",ROUND(I15/F15,2),ROUND(I15/G15,2)))</f>
        <v xml:space="preserve"> </v>
      </c>
      <c r="K15" s="91" t="str">
        <f>IF(ISBLANK($H$9)," ",IF($H$8*12&gt;$H$9,ROUND(H15*($H$9/($H$8*12)),0)," "))</f>
        <v xml:space="preserve"> </v>
      </c>
      <c r="L15" s="92" t="str">
        <f>IF(ISBLANK($H$9)," ",IF(K15=" "," ",H15-K15))</f>
        <v xml:space="preserve"> </v>
      </c>
      <c r="M15" s="79"/>
      <c r="N15" s="78"/>
      <c r="O15" s="84" t="str">
        <f>IF(ISBLANK(N15)," ",ROUND(M15/N15,2))</f>
        <v xml:space="preserve"> </v>
      </c>
      <c r="Q15" s="101" t="s">
        <v>39</v>
      </c>
      <c r="R15" s="102">
        <v>5446</v>
      </c>
      <c r="S15" s="102">
        <v>10000</v>
      </c>
      <c r="T15" s="102">
        <v>10000</v>
      </c>
      <c r="U15" s="102">
        <v>4554</v>
      </c>
    </row>
    <row r="16" spans="1:22" x14ac:dyDescent="0.35">
      <c r="A16" s="52" t="s">
        <v>14</v>
      </c>
      <c r="B16" s="68">
        <v>45474</v>
      </c>
      <c r="C16" s="68">
        <v>45504</v>
      </c>
      <c r="D16" s="69">
        <f t="shared" si="0"/>
        <v>23</v>
      </c>
      <c r="E16" s="69">
        <f t="shared" si="1"/>
        <v>23</v>
      </c>
      <c r="F16" s="69">
        <f>ROUND($H$8/(NETWORKDAYS(DATE(YEAR(B16),MONTH(B16),1),DATE(YEAR(C16),MONTH(C16),DAY(EOMONTH(C16,0))))),2)</f>
        <v>434.78</v>
      </c>
      <c r="G16" s="70" t="str">
        <f>" "</f>
        <v xml:space="preserve"> </v>
      </c>
      <c r="H16" s="54">
        <f>ROUND(F16*D16,0)</f>
        <v>10000</v>
      </c>
      <c r="I16" s="59"/>
      <c r="J16" s="76" t="str">
        <f t="shared" si="2"/>
        <v xml:space="preserve"> </v>
      </c>
      <c r="K16" s="91" t="str">
        <f>IF(ISBLANK($H$9)," ",IF($H$8*12&gt;$H$9,ROUND(H16*($H$9/($H$8*12)),0)," "))</f>
        <v xml:space="preserve"> </v>
      </c>
      <c r="L16" s="92" t="str">
        <f>IF(ISBLANK($H$9)," ",IF(K16=" "," ",H16-K16))</f>
        <v xml:space="preserve"> </v>
      </c>
      <c r="M16" s="79"/>
      <c r="N16" s="78"/>
      <c r="O16" s="84" t="str">
        <f>IF(ISBLANK(N16)," ",ROUND(M16/N16,2))</f>
        <v xml:space="preserve"> </v>
      </c>
      <c r="Q16" s="101" t="s">
        <v>40</v>
      </c>
      <c r="R16" s="103">
        <v>45425</v>
      </c>
      <c r="S16" s="103">
        <v>45444</v>
      </c>
      <c r="T16" s="103">
        <v>45474</v>
      </c>
      <c r="U16" s="103">
        <v>45505</v>
      </c>
    </row>
    <row r="17" spans="1:21" ht="15" thickBot="1" x14ac:dyDescent="0.4">
      <c r="A17" s="52" t="s">
        <v>15</v>
      </c>
      <c r="B17" s="68">
        <v>45505</v>
      </c>
      <c r="C17" s="24">
        <v>45520</v>
      </c>
      <c r="D17" s="69">
        <f t="shared" si="0"/>
        <v>12</v>
      </c>
      <c r="E17" s="69">
        <f t="shared" si="1"/>
        <v>22</v>
      </c>
      <c r="F17" s="69">
        <f>ROUND($H$8/(NETWORKDAYS(DATE(YEAR(B17),MONTH(B17),1),DATE(YEAR(C17),MONTH(C17),DAY(EOMONTH(C17,0))))),2)</f>
        <v>454.55</v>
      </c>
      <c r="G17" s="70">
        <f>IF(((F14*D14)+(F17*D17))&gt;(H7-(H15+H16)),ROUND(F17*((H7-H15-H16)/(D14*F14+D17*F17)),4)," ")</f>
        <v>379.54129999999998</v>
      </c>
      <c r="H17" s="55">
        <f>IF(G17=" ",ROUND(D17*F17,0),ROUND(G17*D17,0))</f>
        <v>4554</v>
      </c>
      <c r="I17" s="60"/>
      <c r="J17" s="77" t="str">
        <f t="shared" si="2"/>
        <v xml:space="preserve"> </v>
      </c>
      <c r="K17" s="93" t="str">
        <f>IF(ISBLANK($H$9)," ",IF($H$8*12&gt;$H$9,ROUND(H17*($H$9/($H$8*12)),0)," "))</f>
        <v xml:space="preserve"> </v>
      </c>
      <c r="L17" s="94" t="str">
        <f>IF(ISBLANK($H$9)," ",IF(K17=" "," ",H17-K17))</f>
        <v xml:space="preserve"> </v>
      </c>
      <c r="M17" s="80"/>
      <c r="N17" s="83"/>
      <c r="O17" s="85" t="str">
        <f>IF(ISBLANK(N17)," ",ROUND(M17/N17,2))</f>
        <v xml:space="preserve"> </v>
      </c>
      <c r="Q17" s="101" t="s">
        <v>41</v>
      </c>
      <c r="R17" s="103">
        <v>45443</v>
      </c>
      <c r="S17" s="103">
        <v>45473</v>
      </c>
      <c r="T17" s="103">
        <v>45504</v>
      </c>
      <c r="U17" s="103">
        <v>45520</v>
      </c>
    </row>
    <row r="18" spans="1:21" ht="30.65" customHeight="1" x14ac:dyDescent="0.35">
      <c r="A18" s="25"/>
      <c r="H18" s="35"/>
      <c r="I18" s="63"/>
      <c r="J18" s="26"/>
      <c r="L18" s="63"/>
      <c r="M18" s="26"/>
      <c r="N18" s="26"/>
      <c r="O18" s="30"/>
      <c r="Q18" s="101" t="s">
        <v>18</v>
      </c>
      <c r="R18" s="104">
        <v>363.03</v>
      </c>
      <c r="S18" s="104">
        <v>500</v>
      </c>
      <c r="T18" s="104">
        <v>434.78</v>
      </c>
      <c r="U18" s="104">
        <v>379.54</v>
      </c>
    </row>
    <row r="19" spans="1:21" x14ac:dyDescent="0.35">
      <c r="A19" s="52" t="s">
        <v>5</v>
      </c>
      <c r="H19" s="35">
        <f>SUM(IF(OR(ISBLANK(M14),M14=0),H14,M14),IF(OR(ISBLANK(M15),M15=0),H15,M15),IF(OR(ISBLANK(M16),M16=0),H16,M16),IF(OR(ISBLANK(M17),M17=0),H17,M17))</f>
        <v>30000</v>
      </c>
      <c r="I19" s="26"/>
      <c r="J19" s="26"/>
      <c r="M19" s="26"/>
      <c r="N19" s="26"/>
      <c r="O19" s="30"/>
      <c r="Q19" s="101" t="s">
        <v>42</v>
      </c>
      <c r="R19" s="78">
        <v>15</v>
      </c>
      <c r="S19" s="78">
        <v>20</v>
      </c>
      <c r="T19" s="78">
        <v>23</v>
      </c>
      <c r="U19" s="78">
        <v>12</v>
      </c>
    </row>
    <row r="20" spans="1:21" x14ac:dyDescent="0.35">
      <c r="A20" s="25"/>
      <c r="H20" s="35"/>
      <c r="I20" s="26"/>
      <c r="J20" s="26"/>
      <c r="M20" s="26"/>
      <c r="N20" s="26"/>
      <c r="O20" s="30"/>
    </row>
    <row r="21" spans="1:21" x14ac:dyDescent="0.35">
      <c r="A21" s="52" t="s">
        <v>20</v>
      </c>
      <c r="H21" s="35">
        <f>H7</f>
        <v>30000</v>
      </c>
      <c r="I21" s="26"/>
      <c r="J21" s="26"/>
      <c r="M21" s="26"/>
      <c r="N21" s="26"/>
      <c r="O21" s="30"/>
    </row>
    <row r="22" spans="1:21" x14ac:dyDescent="0.35">
      <c r="A22" s="25"/>
      <c r="B22" s="71"/>
      <c r="H22" s="35"/>
      <c r="I22" s="26"/>
      <c r="J22" s="26"/>
      <c r="M22" s="26"/>
      <c r="N22" s="26"/>
      <c r="O22" s="30"/>
    </row>
    <row r="23" spans="1:21" ht="15" thickBot="1" x14ac:dyDescent="0.4">
      <c r="A23" s="36" t="s">
        <v>57</v>
      </c>
      <c r="B23" s="37"/>
      <c r="C23" s="37"/>
      <c r="D23" s="38"/>
      <c r="E23" s="38"/>
      <c r="F23" s="38"/>
      <c r="G23" s="38"/>
      <c r="H23" s="39"/>
      <c r="I23" s="37"/>
      <c r="J23" s="37"/>
      <c r="K23" s="37"/>
      <c r="L23" s="37"/>
      <c r="M23" s="37"/>
      <c r="N23" s="37"/>
      <c r="O23" s="40"/>
    </row>
    <row r="24" spans="1:21" x14ac:dyDescent="0.35">
      <c r="A24" s="25"/>
      <c r="I24" s="64"/>
      <c r="L24" s="48"/>
      <c r="M24" s="64"/>
      <c r="O24" s="30"/>
    </row>
    <row r="25" spans="1:21" x14ac:dyDescent="0.35">
      <c r="A25" s="29" t="s">
        <v>22</v>
      </c>
      <c r="D25" s="26"/>
      <c r="E25" s="26"/>
      <c r="F25" s="26"/>
      <c r="G25" s="26"/>
      <c r="H25" s="26"/>
      <c r="I25" s="26"/>
      <c r="J25" s="26"/>
      <c r="M25" s="26"/>
      <c r="N25" s="26"/>
      <c r="O25" s="30"/>
    </row>
    <row r="26" spans="1:21" x14ac:dyDescent="0.35">
      <c r="A26" s="29"/>
      <c r="D26" s="26"/>
      <c r="E26" s="26"/>
      <c r="F26" s="26"/>
      <c r="G26" s="26"/>
      <c r="H26" s="26"/>
      <c r="I26" s="26"/>
      <c r="J26" s="26"/>
      <c r="M26" s="26"/>
      <c r="N26" s="26"/>
      <c r="O26" s="30"/>
    </row>
    <row r="27" spans="1:21" x14ac:dyDescent="0.35">
      <c r="A27" s="31" t="s">
        <v>23</v>
      </c>
      <c r="D27" s="26"/>
      <c r="E27" s="26"/>
      <c r="F27" s="26"/>
      <c r="G27" s="26"/>
      <c r="H27" s="26"/>
      <c r="I27" s="26"/>
      <c r="J27" s="26"/>
      <c r="M27" s="26"/>
      <c r="N27" s="26"/>
      <c r="O27" s="30"/>
    </row>
    <row r="28" spans="1:21" x14ac:dyDescent="0.35">
      <c r="A28" s="31"/>
      <c r="D28" s="26"/>
      <c r="E28" s="26"/>
      <c r="F28" s="26"/>
      <c r="G28" s="26"/>
      <c r="H28" s="26"/>
      <c r="I28" s="26"/>
      <c r="J28" s="26"/>
      <c r="M28" s="26"/>
      <c r="N28" s="26"/>
      <c r="O28" s="30"/>
    </row>
    <row r="29" spans="1:21" x14ac:dyDescent="0.35">
      <c r="A29" s="31" t="s">
        <v>24</v>
      </c>
      <c r="D29" s="26"/>
      <c r="E29" s="26"/>
      <c r="F29" s="26"/>
      <c r="G29" s="26"/>
      <c r="H29" s="26"/>
      <c r="I29" s="26"/>
      <c r="J29" s="26"/>
      <c r="M29" s="26"/>
      <c r="N29" s="26"/>
      <c r="O29" s="30"/>
    </row>
    <row r="30" spans="1:21" x14ac:dyDescent="0.35">
      <c r="A30" s="31"/>
      <c r="B30" s="26" t="s">
        <v>25</v>
      </c>
      <c r="D30" s="26"/>
      <c r="E30" s="26"/>
      <c r="F30" s="26"/>
      <c r="G30" s="26"/>
      <c r="H30" s="26"/>
      <c r="I30" s="26"/>
      <c r="J30" s="26"/>
      <c r="M30" s="26"/>
      <c r="N30" s="26"/>
      <c r="O30" s="30"/>
    </row>
    <row r="31" spans="1:21" x14ac:dyDescent="0.35">
      <c r="A31" s="31"/>
      <c r="D31" s="26"/>
      <c r="E31" s="26"/>
      <c r="F31" s="26"/>
      <c r="G31" s="26"/>
      <c r="H31" s="26"/>
      <c r="I31" s="26"/>
      <c r="J31" s="26"/>
      <c r="M31" s="26"/>
      <c r="N31" s="26"/>
      <c r="O31" s="30"/>
    </row>
    <row r="32" spans="1:21" x14ac:dyDescent="0.35">
      <c r="A32" s="32" t="s">
        <v>26</v>
      </c>
      <c r="D32" s="26"/>
      <c r="E32" s="26"/>
      <c r="F32" s="26"/>
      <c r="G32" s="26"/>
      <c r="H32" s="26"/>
      <c r="I32" s="26"/>
      <c r="J32" s="26"/>
      <c r="M32" s="26"/>
      <c r="N32" s="26"/>
      <c r="O32" s="30"/>
    </row>
    <row r="33" spans="1:15" x14ac:dyDescent="0.35">
      <c r="A33" s="32"/>
      <c r="D33" s="26"/>
      <c r="E33" s="26"/>
      <c r="F33" s="26"/>
      <c r="G33" s="26"/>
      <c r="H33" s="26"/>
      <c r="I33" s="26"/>
      <c r="J33" s="26"/>
      <c r="M33" s="26"/>
      <c r="N33" s="26"/>
      <c r="O33" s="30"/>
    </row>
    <row r="34" spans="1:15" x14ac:dyDescent="0.35">
      <c r="A34" s="25" t="s">
        <v>27</v>
      </c>
      <c r="D34" s="26"/>
      <c r="E34" s="26"/>
      <c r="F34" s="26"/>
      <c r="G34" s="26"/>
      <c r="H34" s="26"/>
      <c r="I34" s="26"/>
      <c r="J34" s="26"/>
      <c r="M34" s="26"/>
      <c r="N34" s="26"/>
      <c r="O34" s="30"/>
    </row>
    <row r="35" spans="1:15" x14ac:dyDescent="0.35">
      <c r="A35" s="25"/>
      <c r="D35" s="26"/>
      <c r="E35" s="26"/>
      <c r="F35" s="26"/>
      <c r="G35" s="26"/>
      <c r="H35" s="26"/>
      <c r="I35" s="26"/>
      <c r="J35" s="26"/>
      <c r="M35" s="26"/>
      <c r="N35" s="26"/>
      <c r="O35" s="30"/>
    </row>
    <row r="36" spans="1:15" x14ac:dyDescent="0.35">
      <c r="A36" s="25" t="s">
        <v>36</v>
      </c>
      <c r="D36" s="26"/>
      <c r="E36" s="26"/>
      <c r="F36" s="26"/>
      <c r="G36" s="26"/>
      <c r="H36" s="26"/>
      <c r="I36" s="26"/>
      <c r="J36" s="26"/>
      <c r="M36" s="26"/>
      <c r="N36" s="26"/>
      <c r="O36" s="30"/>
    </row>
    <row r="37" spans="1:15" x14ac:dyDescent="0.35">
      <c r="A37" s="25"/>
      <c r="D37" s="26"/>
      <c r="E37" s="26"/>
      <c r="F37" s="26"/>
      <c r="G37" s="26"/>
      <c r="H37" s="26"/>
      <c r="I37" s="26"/>
      <c r="J37" s="26"/>
      <c r="M37" s="26"/>
      <c r="N37" s="26"/>
      <c r="O37" s="30"/>
    </row>
    <row r="38" spans="1:15" ht="15" thickBot="1" x14ac:dyDescent="0.4">
      <c r="A38" s="33" t="s">
        <v>64</v>
      </c>
      <c r="B38" s="34"/>
      <c r="C38" s="34"/>
      <c r="D38" s="34"/>
      <c r="E38" s="34"/>
      <c r="F38" s="34"/>
      <c r="G38" s="34"/>
      <c r="H38" s="34"/>
      <c r="I38" s="34"/>
      <c r="J38" s="34"/>
      <c r="K38" s="37"/>
      <c r="L38" s="37"/>
      <c r="M38" s="34"/>
      <c r="N38" s="34"/>
      <c r="O38" s="40"/>
    </row>
  </sheetData>
  <mergeCells count="6">
    <mergeCell ref="Q11:U12"/>
    <mergeCell ref="A6:F6"/>
    <mergeCell ref="A7:F7"/>
    <mergeCell ref="A8:F8"/>
    <mergeCell ref="A9:F9"/>
    <mergeCell ref="A11:O11"/>
  </mergeCells>
  <conditionalFormatting sqref="K13:L17">
    <cfRule type="expression" dxfId="4" priority="1">
      <formula>($H$9)</formula>
    </cfRule>
  </conditionalFormatting>
  <dataValidations disablePrompts="1" count="2">
    <dataValidation type="custom" allowBlank="1" showInputMessage="1" showErrorMessage="1" error="Please enter a date before fall classes begin." sqref="C17" xr:uid="{B097D583-0EF5-446D-A48B-BE6A2098FBAD}">
      <formula1>C17&lt;DATE(2024,8,17)</formula1>
    </dataValidation>
    <dataValidation type="custom" allowBlank="1" showInputMessage="1" showErrorMessage="1" error="Please enter a date equal to or later than the Monday after commencement (5/13/2024)" sqref="B14" xr:uid="{C7102EC9-986B-43A7-A1FA-6A83A78E040E}">
      <formula1>B14&gt;DATE(2024,5,12)</formula1>
    </dataValidation>
  </dataValidations>
  <pageMargins left="0.7" right="0.7" top="0.75" bottom="0.75" header="0.3" footer="0.3"/>
  <pageSetup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2F6FF-76AF-4119-ADCA-D44365EEA2F7}">
  <dimension ref="A1:U38"/>
  <sheetViews>
    <sheetView zoomScale="130" zoomScaleNormal="130" workbookViewId="0">
      <selection activeCell="H19" sqref="H19"/>
    </sheetView>
  </sheetViews>
  <sheetFormatPr defaultColWidth="8.7265625" defaultRowHeight="14.5" x14ac:dyDescent="0.35"/>
  <cols>
    <col min="1" max="1" width="8.1796875" style="26" customWidth="1"/>
    <col min="2" max="2" width="9" style="26" customWidth="1"/>
    <col min="3" max="3" width="9.26953125" style="26" customWidth="1"/>
    <col min="4" max="4" width="6.7265625" style="27" customWidth="1"/>
    <col min="5" max="5" width="9.1796875" style="27" hidden="1" customWidth="1"/>
    <col min="6" max="6" width="10.1796875" style="27" customWidth="1"/>
    <col min="7" max="7" width="9.26953125" style="27" bestFit="1" customWidth="1"/>
    <col min="8" max="8" width="12.6328125" style="28" customWidth="1"/>
    <col min="9" max="10" width="9.1796875" style="41" hidden="1" customWidth="1"/>
    <col min="11" max="12" width="9.1796875" style="26" customWidth="1"/>
    <col min="13" max="14" width="9.1796875" style="41" customWidth="1"/>
    <col min="15" max="15" width="9.54296875" style="26" customWidth="1"/>
    <col min="16" max="16" width="4.1796875" style="26" customWidth="1"/>
    <col min="17" max="17" width="31.7265625" style="26" customWidth="1"/>
    <col min="18" max="18" width="10.7265625" style="26" bestFit="1" customWidth="1"/>
    <col min="19" max="21" width="10" style="26" bestFit="1" customWidth="1"/>
    <col min="22" max="16384" width="8.7265625" style="26"/>
  </cols>
  <sheetData>
    <row r="1" spans="1:21" ht="15" thickBot="1" x14ac:dyDescent="0.4">
      <c r="A1" s="42" t="s">
        <v>10</v>
      </c>
      <c r="B1" s="43"/>
      <c r="C1" s="43"/>
      <c r="D1" s="44"/>
      <c r="E1" s="44"/>
      <c r="F1" s="44"/>
      <c r="G1" s="44"/>
      <c r="H1" s="45"/>
      <c r="I1" s="43"/>
      <c r="J1" s="43"/>
      <c r="K1" s="42"/>
      <c r="L1" s="46"/>
      <c r="M1" s="43"/>
      <c r="N1" s="43"/>
      <c r="O1" s="81"/>
    </row>
    <row r="2" spans="1:21" x14ac:dyDescent="0.35">
      <c r="A2" s="47"/>
      <c r="B2" s="48"/>
      <c r="C2" s="48"/>
      <c r="D2" s="49"/>
      <c r="E2" s="49"/>
      <c r="F2" s="49"/>
      <c r="G2" s="49"/>
      <c r="H2" s="50"/>
      <c r="I2" s="48"/>
      <c r="J2" s="26"/>
      <c r="K2" s="66"/>
      <c r="L2" s="82"/>
      <c r="M2" s="48"/>
      <c r="N2" s="26"/>
      <c r="O2" s="72"/>
      <c r="P2" s="57"/>
    </row>
    <row r="3" spans="1:21" x14ac:dyDescent="0.35">
      <c r="A3" s="25"/>
      <c r="F3" s="73" t="s">
        <v>28</v>
      </c>
      <c r="H3" s="51" t="s">
        <v>43</v>
      </c>
      <c r="I3" s="26"/>
      <c r="J3" s="26"/>
      <c r="K3" s="57"/>
      <c r="L3" s="57"/>
      <c r="M3" s="26"/>
      <c r="N3" s="26"/>
      <c r="O3" s="72"/>
      <c r="P3" s="57"/>
    </row>
    <row r="4" spans="1:21" x14ac:dyDescent="0.35">
      <c r="A4" s="25"/>
      <c r="F4" s="73" t="s">
        <v>29</v>
      </c>
      <c r="H4" s="51">
        <v>710000000</v>
      </c>
      <c r="I4" s="26"/>
      <c r="J4" s="26"/>
      <c r="K4" s="57"/>
      <c r="L4" s="57"/>
      <c r="M4" s="26"/>
      <c r="N4" s="26"/>
      <c r="O4" s="72"/>
      <c r="P4" s="57"/>
    </row>
    <row r="5" spans="1:21" x14ac:dyDescent="0.35">
      <c r="A5" s="25"/>
      <c r="I5" s="26"/>
      <c r="J5" s="26"/>
      <c r="K5" s="57"/>
      <c r="L5" s="57"/>
      <c r="M5" s="26"/>
      <c r="N5" s="26"/>
      <c r="O5" s="72"/>
      <c r="P5" s="57"/>
    </row>
    <row r="6" spans="1:21" x14ac:dyDescent="0.35">
      <c r="A6" s="124" t="s">
        <v>31</v>
      </c>
      <c r="B6" s="125"/>
      <c r="C6" s="125"/>
      <c r="D6" s="125"/>
      <c r="E6" s="125"/>
      <c r="F6" s="125"/>
      <c r="H6" s="23">
        <v>90000</v>
      </c>
      <c r="I6" s="26"/>
      <c r="J6" s="26"/>
      <c r="K6" s="57"/>
      <c r="L6" s="57"/>
      <c r="M6" s="26"/>
      <c r="N6" s="26"/>
      <c r="O6" s="72"/>
      <c r="P6" s="57"/>
    </row>
    <row r="7" spans="1:21" x14ac:dyDescent="0.35">
      <c r="A7" s="124" t="s">
        <v>11</v>
      </c>
      <c r="B7" s="125"/>
      <c r="C7" s="125"/>
      <c r="D7" s="125"/>
      <c r="E7" s="125"/>
      <c r="F7" s="125"/>
      <c r="H7" s="53">
        <f>H6/3</f>
        <v>30000</v>
      </c>
      <c r="I7" s="26"/>
      <c r="J7" s="26"/>
      <c r="K7" s="57"/>
      <c r="L7" s="57"/>
      <c r="M7" s="26"/>
      <c r="N7" s="26"/>
      <c r="O7" s="72"/>
      <c r="P7" s="57"/>
    </row>
    <row r="8" spans="1:21" x14ac:dyDescent="0.35">
      <c r="A8" s="124" t="s">
        <v>19</v>
      </c>
      <c r="B8" s="125"/>
      <c r="C8" s="125"/>
      <c r="D8" s="125"/>
      <c r="E8" s="125"/>
      <c r="F8" s="125"/>
      <c r="H8" s="53">
        <f>H6/9</f>
        <v>10000</v>
      </c>
      <c r="I8" s="62"/>
      <c r="J8" s="62"/>
      <c r="K8" s="57"/>
      <c r="L8" s="57"/>
      <c r="M8" s="62"/>
      <c r="N8" s="62"/>
      <c r="O8" s="72"/>
      <c r="P8" s="57"/>
    </row>
    <row r="9" spans="1:21" x14ac:dyDescent="0.35">
      <c r="A9" s="126" t="s">
        <v>32</v>
      </c>
      <c r="B9" s="127"/>
      <c r="C9" s="127"/>
      <c r="D9" s="127"/>
      <c r="E9" s="127"/>
      <c r="F9" s="127"/>
      <c r="G9" s="86"/>
      <c r="H9" s="56"/>
      <c r="I9" s="26"/>
      <c r="J9" s="26"/>
      <c r="K9" s="57"/>
      <c r="L9" s="57"/>
      <c r="M9" s="26"/>
      <c r="N9" s="26"/>
      <c r="O9" s="72"/>
      <c r="P9" s="57"/>
    </row>
    <row r="10" spans="1:21" x14ac:dyDescent="0.35">
      <c r="A10" s="25"/>
      <c r="H10" s="35"/>
      <c r="I10" s="26"/>
      <c r="J10" s="26"/>
      <c r="K10" s="57"/>
      <c r="L10" s="57"/>
      <c r="M10" s="26"/>
      <c r="N10" s="26"/>
      <c r="O10" s="72"/>
      <c r="P10" s="57"/>
    </row>
    <row r="11" spans="1:21" ht="62.15" customHeight="1" x14ac:dyDescent="0.35">
      <c r="A11" s="128" t="s">
        <v>54</v>
      </c>
      <c r="B11" s="129"/>
      <c r="C11" s="129"/>
      <c r="D11" s="129"/>
      <c r="E11" s="129"/>
      <c r="F11" s="129"/>
      <c r="G11" s="129"/>
      <c r="H11" s="129"/>
      <c r="I11" s="129"/>
      <c r="J11" s="130"/>
      <c r="K11" s="130"/>
      <c r="L11" s="130"/>
      <c r="M11" s="130"/>
      <c r="N11" s="130"/>
      <c r="O11" s="131"/>
      <c r="P11" s="57"/>
      <c r="Q11" s="132" t="s">
        <v>51</v>
      </c>
      <c r="R11" s="133"/>
      <c r="S11" s="133"/>
      <c r="T11" s="133"/>
      <c r="U11" s="133"/>
    </row>
    <row r="12" spans="1:21" ht="16" customHeight="1" thickBot="1" x14ac:dyDescent="0.4">
      <c r="A12" s="25"/>
      <c r="I12" s="61"/>
      <c r="J12" s="26"/>
      <c r="L12" s="61"/>
      <c r="M12" s="26"/>
      <c r="N12" s="26"/>
      <c r="O12" s="30"/>
      <c r="Q12" s="134"/>
      <c r="R12" s="134"/>
      <c r="S12" s="134"/>
      <c r="T12" s="134"/>
      <c r="U12" s="134"/>
    </row>
    <row r="13" spans="1:21" ht="43.5" x14ac:dyDescent="0.35">
      <c r="A13" s="25"/>
      <c r="B13" s="67" t="s">
        <v>1</v>
      </c>
      <c r="C13" s="67" t="s">
        <v>16</v>
      </c>
      <c r="D13" s="67" t="s">
        <v>17</v>
      </c>
      <c r="E13" s="67"/>
      <c r="F13" s="95" t="s">
        <v>45</v>
      </c>
      <c r="G13" s="67" t="s">
        <v>21</v>
      </c>
      <c r="H13" s="96" t="s">
        <v>39</v>
      </c>
      <c r="I13" s="65" t="s">
        <v>30</v>
      </c>
      <c r="J13" s="74" t="s">
        <v>35</v>
      </c>
      <c r="K13" s="87" t="s">
        <v>33</v>
      </c>
      <c r="L13" s="88" t="s">
        <v>34</v>
      </c>
      <c r="M13" s="97" t="s">
        <v>37</v>
      </c>
      <c r="N13" s="98" t="s">
        <v>55</v>
      </c>
      <c r="O13" s="99" t="s">
        <v>44</v>
      </c>
      <c r="Q13" s="105" t="s">
        <v>53</v>
      </c>
      <c r="R13" s="111"/>
      <c r="U13" s="109"/>
    </row>
    <row r="14" spans="1:21" x14ac:dyDescent="0.35">
      <c r="A14" s="52" t="s">
        <v>12</v>
      </c>
      <c r="B14" s="24">
        <v>45425</v>
      </c>
      <c r="C14" s="68">
        <v>45443</v>
      </c>
      <c r="D14" s="69">
        <f>NETWORKDAYS(B14,C14)</f>
        <v>15</v>
      </c>
      <c r="E14" s="69">
        <f>NETWORKDAYS(DATE(YEAR(B14),MONTH(B14),1),DATE(YEAR(C14),MONTH(C14),DAY(EOMONTH(C14,0))))</f>
        <v>23</v>
      </c>
      <c r="F14" s="69">
        <f>ROUND($H$8/(NETWORKDAYS(DATE(YEAR(B14),MONTH(B14),1),DATE(YEAR(C14),MONTH(C14),DAY(EOMONTH(C14,0))))),2)</f>
        <v>434.78</v>
      </c>
      <c r="G14" s="70" t="str">
        <f>IF(((F14*D14)+(F17*D17))&gt;(H7-(H15+H16)),ROUND(F14*((H7-H15-H16)/(D14*F14+D17*F17)),4)," ")</f>
        <v xml:space="preserve"> </v>
      </c>
      <c r="H14" s="54">
        <f>IF(G14=" ",ROUND(D14*F14,0),ROUND(G14*D14,0))</f>
        <v>6522</v>
      </c>
      <c r="I14" s="58">
        <v>3000</v>
      </c>
      <c r="J14" s="75">
        <f>IF(ISBLANK(I14)," ",IF(G14=" ",ROUND(I14/F14,2),ROUND(I14/G14,2)))</f>
        <v>6.9</v>
      </c>
      <c r="K14" s="89" t="str">
        <f>IF(ISBLANK($H$9)," ",IF($H$8*12&gt;$H$9,ROUND(IF(ISBLANK(M14),H14,M14)*($H$9/($H$8*12)),0)," "))</f>
        <v xml:space="preserve"> </v>
      </c>
      <c r="L14" s="90" t="str">
        <f>IF(ISBLANK($H$9)," ",IF(K14=" "," ",IF(ISBLANK(M14),H14,M14)-K14))</f>
        <v xml:space="preserve"> </v>
      </c>
      <c r="M14" s="79"/>
      <c r="N14" s="78"/>
      <c r="O14" s="84" t="str">
        <f>IF(ISBLANK(N14)," ",ROUND(M14/N14,2))</f>
        <v xml:space="preserve"> </v>
      </c>
      <c r="Q14" s="78"/>
      <c r="R14" s="101" t="s">
        <v>12</v>
      </c>
      <c r="S14" s="101" t="s">
        <v>38</v>
      </c>
      <c r="T14" s="101" t="s">
        <v>14</v>
      </c>
      <c r="U14" s="101" t="s">
        <v>15</v>
      </c>
    </row>
    <row r="15" spans="1:21" x14ac:dyDescent="0.35">
      <c r="A15" s="52" t="s">
        <v>13</v>
      </c>
      <c r="B15" s="68"/>
      <c r="C15" s="68"/>
      <c r="D15" s="69">
        <f t="shared" ref="D15:D17" si="0">NETWORKDAYS(B15,C15)</f>
        <v>0</v>
      </c>
      <c r="E15" s="69">
        <f t="shared" ref="E15:E17" si="1">NETWORKDAYS(DATE(YEAR(B15),MONTH(B15),1),DATE(YEAR(C15),MONTH(C15),DAY(EOMONTH(C15,0))))</f>
        <v>22</v>
      </c>
      <c r="F15" s="69">
        <f>ROUND($H$8/(NETWORKDAYS(DATE(YEAR(B15),MONTH(B15),1),DATE(YEAR(C15),MONTH(C15),DAY(EOMONTH(C15,0))))),2)</f>
        <v>454.55</v>
      </c>
      <c r="G15" s="70" t="str">
        <f>" "</f>
        <v xml:space="preserve"> </v>
      </c>
      <c r="H15" s="54">
        <f>ROUND(F15*D15,0)</f>
        <v>0</v>
      </c>
      <c r="I15" s="59"/>
      <c r="J15" s="76" t="str">
        <f t="shared" ref="J15:J17" si="2">IF(ISBLANK(I15)," ",IF(G15=" ",ROUND(I15/F15,2),ROUND(I15/G15,2)))</f>
        <v xml:space="preserve"> </v>
      </c>
      <c r="K15" s="91" t="str">
        <f>IF(ISBLANK($H$9)," ",IF($H$8*12&gt;$H$9,ROUND(H15*($H$9/($H$8*12)),0)," "))</f>
        <v xml:space="preserve"> </v>
      </c>
      <c r="L15" s="92" t="str">
        <f>IF(ISBLANK($H$9)," ",IF(K15=" "," ",H15-K15))</f>
        <v xml:space="preserve"> </v>
      </c>
      <c r="M15" s="79"/>
      <c r="N15" s="78"/>
      <c r="O15" s="84" t="str">
        <f>IF(ISBLANK(N15)," ",ROUND(M15/N15,2))</f>
        <v xml:space="preserve"> </v>
      </c>
      <c r="Q15" s="101" t="s">
        <v>39</v>
      </c>
      <c r="R15" s="102">
        <v>6522</v>
      </c>
      <c r="S15" s="78"/>
      <c r="T15" s="78"/>
      <c r="U15" s="78"/>
    </row>
    <row r="16" spans="1:21" x14ac:dyDescent="0.35">
      <c r="A16" s="52" t="s">
        <v>14</v>
      </c>
      <c r="B16" s="68"/>
      <c r="C16" s="68"/>
      <c r="D16" s="69">
        <f t="shared" si="0"/>
        <v>0</v>
      </c>
      <c r="E16" s="69">
        <f t="shared" si="1"/>
        <v>22</v>
      </c>
      <c r="F16" s="69">
        <f>ROUND($H$8/(NETWORKDAYS(DATE(YEAR(B16),MONTH(B16),1),DATE(YEAR(C16),MONTH(C16),DAY(EOMONTH(C16,0))))),2)</f>
        <v>454.55</v>
      </c>
      <c r="G16" s="70" t="str">
        <f>" "</f>
        <v xml:space="preserve"> </v>
      </c>
      <c r="H16" s="54">
        <f>ROUND(F16*D16,0)</f>
        <v>0</v>
      </c>
      <c r="I16" s="59"/>
      <c r="J16" s="76" t="str">
        <f t="shared" si="2"/>
        <v xml:space="preserve"> </v>
      </c>
      <c r="K16" s="91" t="str">
        <f>IF(ISBLANK($H$9)," ",IF($H$8*12&gt;$H$9,ROUND(H16*($H$9/($H$8*12)),0)," "))</f>
        <v xml:space="preserve"> </v>
      </c>
      <c r="L16" s="92" t="str">
        <f>IF(ISBLANK($H$9)," ",IF(K16=" "," ",H16-K16))</f>
        <v xml:space="preserve"> </v>
      </c>
      <c r="M16" s="79"/>
      <c r="N16" s="78"/>
      <c r="O16" s="84" t="str">
        <f>IF(ISBLANK(N16)," ",ROUND(M16/N16,2))</f>
        <v xml:space="preserve"> </v>
      </c>
      <c r="Q16" s="101" t="s">
        <v>40</v>
      </c>
      <c r="R16" s="103">
        <v>45425</v>
      </c>
      <c r="S16" s="103"/>
      <c r="T16" s="103"/>
      <c r="U16" s="103"/>
    </row>
    <row r="17" spans="1:21" ht="15" thickBot="1" x14ac:dyDescent="0.4">
      <c r="A17" s="52" t="s">
        <v>15</v>
      </c>
      <c r="B17" s="68"/>
      <c r="C17" s="24"/>
      <c r="D17" s="69">
        <f t="shared" si="0"/>
        <v>0</v>
      </c>
      <c r="E17" s="69">
        <f t="shared" si="1"/>
        <v>22</v>
      </c>
      <c r="F17" s="69">
        <f>ROUND($H$8/(NETWORKDAYS(DATE(YEAR(B17),MONTH(B17),1),DATE(YEAR(C17),MONTH(C17),DAY(EOMONTH(C17,0))))),2)</f>
        <v>454.55</v>
      </c>
      <c r="G17" s="70" t="str">
        <f>IF(((F14*D14)+(F17*D17))&gt;(H7-(H15+H16)),ROUND(F17*((H7-H15-H16)/(D14*F14+D17*F17)),4)," ")</f>
        <v xml:space="preserve"> </v>
      </c>
      <c r="H17" s="55">
        <f>IF(G17=" ",ROUND(D17*F17,0),ROUND(G17*D17,0))</f>
        <v>0</v>
      </c>
      <c r="I17" s="60"/>
      <c r="J17" s="77" t="str">
        <f t="shared" si="2"/>
        <v xml:space="preserve"> </v>
      </c>
      <c r="K17" s="93" t="str">
        <f>IF(ISBLANK($H$9)," ",IF($H$8*12&gt;$H$9,ROUND(H17*($H$9/($H$8*12)),0)," "))</f>
        <v xml:space="preserve"> </v>
      </c>
      <c r="L17" s="94" t="str">
        <f>IF(ISBLANK($H$9)," ",IF(K17=" "," ",H17-K17))</f>
        <v xml:space="preserve"> </v>
      </c>
      <c r="M17" s="80"/>
      <c r="N17" s="83"/>
      <c r="O17" s="85" t="str">
        <f>IF(ISBLANK(N17)," ",ROUND(M17/N17,2))</f>
        <v xml:space="preserve"> </v>
      </c>
      <c r="Q17" s="101" t="s">
        <v>41</v>
      </c>
      <c r="R17" s="103">
        <v>45443</v>
      </c>
      <c r="S17" s="103"/>
      <c r="T17" s="103"/>
      <c r="U17" s="103"/>
    </row>
    <row r="18" spans="1:21" ht="30.65" customHeight="1" x14ac:dyDescent="0.35">
      <c r="A18" s="25"/>
      <c r="H18" s="35"/>
      <c r="I18" s="63"/>
      <c r="J18" s="26"/>
      <c r="L18" s="63"/>
      <c r="M18" s="26"/>
      <c r="N18" s="26"/>
      <c r="O18" s="30"/>
      <c r="Q18" s="101" t="s">
        <v>18</v>
      </c>
      <c r="R18" s="104">
        <v>434.78</v>
      </c>
      <c r="S18" s="78"/>
      <c r="T18" s="78"/>
      <c r="U18" s="78"/>
    </row>
    <row r="19" spans="1:21" x14ac:dyDescent="0.35">
      <c r="A19" s="52" t="s">
        <v>5</v>
      </c>
      <c r="H19" s="35">
        <f>SUM(IF(OR(ISBLANK(M14),M14=0),H14,M14),IF(OR(ISBLANK(M15),M15=0),H15,M15),IF(OR(ISBLANK(M16),M16=0),H16,M16),IF(OR(ISBLANK(M17),M17=0),H17,M17))</f>
        <v>6522</v>
      </c>
      <c r="I19" s="26"/>
      <c r="J19" s="26"/>
      <c r="M19" s="26"/>
      <c r="N19" s="26"/>
      <c r="O19" s="30"/>
      <c r="Q19" s="101" t="s">
        <v>42</v>
      </c>
      <c r="R19" s="78">
        <v>15</v>
      </c>
      <c r="S19" s="78"/>
      <c r="T19" s="78"/>
      <c r="U19" s="78"/>
    </row>
    <row r="20" spans="1:21" x14ac:dyDescent="0.35">
      <c r="A20" s="25"/>
      <c r="H20" s="35"/>
      <c r="I20" s="26"/>
      <c r="J20" s="26"/>
      <c r="M20" s="26"/>
      <c r="N20" s="26"/>
      <c r="O20" s="30"/>
    </row>
    <row r="21" spans="1:21" x14ac:dyDescent="0.35">
      <c r="A21" s="52" t="s">
        <v>20</v>
      </c>
      <c r="H21" s="35">
        <f>H7</f>
        <v>30000</v>
      </c>
      <c r="I21" s="26"/>
      <c r="J21" s="26"/>
      <c r="M21" s="26"/>
      <c r="N21" s="26"/>
      <c r="O21" s="30"/>
    </row>
    <row r="22" spans="1:21" x14ac:dyDescent="0.35">
      <c r="A22" s="25"/>
      <c r="B22" s="71"/>
      <c r="H22" s="35"/>
      <c r="I22" s="26"/>
      <c r="J22" s="26"/>
      <c r="M22" s="26"/>
      <c r="N22" s="26"/>
      <c r="O22" s="30"/>
    </row>
    <row r="23" spans="1:21" ht="15" thickBot="1" x14ac:dyDescent="0.4">
      <c r="A23" s="36" t="s">
        <v>57</v>
      </c>
      <c r="B23" s="37"/>
      <c r="C23" s="37"/>
      <c r="D23" s="38"/>
      <c r="E23" s="38"/>
      <c r="F23" s="38"/>
      <c r="G23" s="38"/>
      <c r="H23" s="39"/>
      <c r="I23" s="37"/>
      <c r="J23" s="37"/>
      <c r="K23" s="37"/>
      <c r="L23" s="37"/>
      <c r="M23" s="37"/>
      <c r="N23" s="37"/>
      <c r="O23" s="40"/>
    </row>
    <row r="24" spans="1:21" x14ac:dyDescent="0.35">
      <c r="A24" s="25"/>
      <c r="I24" s="64"/>
      <c r="L24" s="48"/>
      <c r="M24" s="64"/>
      <c r="O24" s="30"/>
    </row>
    <row r="25" spans="1:21" x14ac:dyDescent="0.35">
      <c r="A25" s="29" t="s">
        <v>22</v>
      </c>
      <c r="D25" s="26"/>
      <c r="E25" s="26"/>
      <c r="F25" s="26"/>
      <c r="G25" s="26"/>
      <c r="H25" s="26"/>
      <c r="I25" s="26"/>
      <c r="J25" s="26"/>
      <c r="M25" s="26"/>
      <c r="N25" s="26"/>
      <c r="O25" s="30"/>
    </row>
    <row r="26" spans="1:21" x14ac:dyDescent="0.35">
      <c r="A26" s="29"/>
      <c r="D26" s="26"/>
      <c r="E26" s="26"/>
      <c r="F26" s="26"/>
      <c r="G26" s="26"/>
      <c r="H26" s="26"/>
      <c r="I26" s="26"/>
      <c r="J26" s="26"/>
      <c r="M26" s="26"/>
      <c r="N26" s="26"/>
      <c r="O26" s="30"/>
    </row>
    <row r="27" spans="1:21" x14ac:dyDescent="0.35">
      <c r="A27" s="31" t="s">
        <v>23</v>
      </c>
      <c r="D27" s="26"/>
      <c r="E27" s="26"/>
      <c r="F27" s="26"/>
      <c r="G27" s="26"/>
      <c r="H27" s="26"/>
      <c r="I27" s="26"/>
      <c r="J27" s="26"/>
      <c r="M27" s="26"/>
      <c r="N27" s="26"/>
      <c r="O27" s="30"/>
    </row>
    <row r="28" spans="1:21" x14ac:dyDescent="0.35">
      <c r="A28" s="31"/>
      <c r="D28" s="26"/>
      <c r="E28" s="26"/>
      <c r="F28" s="26"/>
      <c r="G28" s="26"/>
      <c r="H28" s="26"/>
      <c r="I28" s="26"/>
      <c r="J28" s="26"/>
      <c r="M28" s="26"/>
      <c r="N28" s="26"/>
      <c r="O28" s="30"/>
    </row>
    <row r="29" spans="1:21" x14ac:dyDescent="0.35">
      <c r="A29" s="31" t="s">
        <v>24</v>
      </c>
      <c r="D29" s="26"/>
      <c r="E29" s="26"/>
      <c r="F29" s="26"/>
      <c r="G29" s="26"/>
      <c r="H29" s="26"/>
      <c r="I29" s="26"/>
      <c r="J29" s="26"/>
      <c r="M29" s="26"/>
      <c r="N29" s="26"/>
      <c r="O29" s="30"/>
    </row>
    <row r="30" spans="1:21" x14ac:dyDescent="0.35">
      <c r="A30" s="31"/>
      <c r="B30" s="26" t="s">
        <v>25</v>
      </c>
      <c r="D30" s="26"/>
      <c r="E30" s="26"/>
      <c r="F30" s="26"/>
      <c r="G30" s="26"/>
      <c r="H30" s="26"/>
      <c r="I30" s="26"/>
      <c r="J30" s="26"/>
      <c r="M30" s="26"/>
      <c r="N30" s="26"/>
      <c r="O30" s="30"/>
    </row>
    <row r="31" spans="1:21" x14ac:dyDescent="0.35">
      <c r="A31" s="31"/>
      <c r="D31" s="26"/>
      <c r="E31" s="26"/>
      <c r="F31" s="26"/>
      <c r="G31" s="26"/>
      <c r="H31" s="26"/>
      <c r="I31" s="26"/>
      <c r="J31" s="26"/>
      <c r="M31" s="26"/>
      <c r="N31" s="26"/>
      <c r="O31" s="30"/>
    </row>
    <row r="32" spans="1:21" x14ac:dyDescent="0.35">
      <c r="A32" s="32" t="s">
        <v>26</v>
      </c>
      <c r="D32" s="26"/>
      <c r="E32" s="26"/>
      <c r="F32" s="26"/>
      <c r="G32" s="26"/>
      <c r="H32" s="26"/>
      <c r="I32" s="26"/>
      <c r="J32" s="26"/>
      <c r="M32" s="26"/>
      <c r="N32" s="26"/>
      <c r="O32" s="30"/>
    </row>
    <row r="33" spans="1:15" x14ac:dyDescent="0.35">
      <c r="A33" s="32"/>
      <c r="D33" s="26"/>
      <c r="E33" s="26"/>
      <c r="F33" s="26"/>
      <c r="G33" s="26"/>
      <c r="H33" s="26"/>
      <c r="I33" s="26"/>
      <c r="J33" s="26"/>
      <c r="M33" s="26"/>
      <c r="N33" s="26"/>
      <c r="O33" s="30"/>
    </row>
    <row r="34" spans="1:15" x14ac:dyDescent="0.35">
      <c r="A34" s="25" t="s">
        <v>27</v>
      </c>
      <c r="D34" s="26"/>
      <c r="E34" s="26"/>
      <c r="F34" s="26"/>
      <c r="G34" s="26"/>
      <c r="H34" s="26"/>
      <c r="I34" s="26"/>
      <c r="J34" s="26"/>
      <c r="M34" s="26"/>
      <c r="N34" s="26"/>
      <c r="O34" s="30"/>
    </row>
    <row r="35" spans="1:15" x14ac:dyDescent="0.35">
      <c r="A35" s="25"/>
      <c r="D35" s="26"/>
      <c r="E35" s="26"/>
      <c r="F35" s="26"/>
      <c r="G35" s="26"/>
      <c r="H35" s="26"/>
      <c r="I35" s="26"/>
      <c r="J35" s="26"/>
      <c r="M35" s="26"/>
      <c r="N35" s="26"/>
      <c r="O35" s="30"/>
    </row>
    <row r="36" spans="1:15" x14ac:dyDescent="0.35">
      <c r="A36" s="25" t="s">
        <v>36</v>
      </c>
      <c r="D36" s="26"/>
      <c r="E36" s="26"/>
      <c r="F36" s="26"/>
      <c r="G36" s="26"/>
      <c r="H36" s="26"/>
      <c r="I36" s="26"/>
      <c r="J36" s="26"/>
      <c r="M36" s="26"/>
      <c r="N36" s="26"/>
      <c r="O36" s="30"/>
    </row>
    <row r="37" spans="1:15" x14ac:dyDescent="0.35">
      <c r="A37" s="25"/>
      <c r="D37" s="26"/>
      <c r="E37" s="26"/>
      <c r="F37" s="26"/>
      <c r="G37" s="26"/>
      <c r="H37" s="26"/>
      <c r="I37" s="26"/>
      <c r="J37" s="26"/>
      <c r="M37" s="26"/>
      <c r="N37" s="26"/>
      <c r="O37" s="30"/>
    </row>
    <row r="38" spans="1:15" ht="15" thickBot="1" x14ac:dyDescent="0.4">
      <c r="A38" s="33" t="s">
        <v>64</v>
      </c>
      <c r="B38" s="34"/>
      <c r="C38" s="34"/>
      <c r="D38" s="34"/>
      <c r="E38" s="34"/>
      <c r="F38" s="34"/>
      <c r="G38" s="34"/>
      <c r="H38" s="34"/>
      <c r="I38" s="34"/>
      <c r="J38" s="34"/>
      <c r="K38" s="37"/>
      <c r="L38" s="37"/>
      <c r="M38" s="34"/>
      <c r="N38" s="34"/>
      <c r="O38" s="40"/>
    </row>
  </sheetData>
  <mergeCells count="6">
    <mergeCell ref="Q11:U12"/>
    <mergeCell ref="A6:F6"/>
    <mergeCell ref="A7:F7"/>
    <mergeCell ref="A8:F8"/>
    <mergeCell ref="A9:F9"/>
    <mergeCell ref="A11:O11"/>
  </mergeCells>
  <conditionalFormatting sqref="K13:L17">
    <cfRule type="expression" dxfId="3" priority="1">
      <formula>($H$9)</formula>
    </cfRule>
  </conditionalFormatting>
  <dataValidations disablePrompts="1" count="2">
    <dataValidation type="custom" allowBlank="1" showInputMessage="1" showErrorMessage="1" error="Please enter a date equal to or later than the Monday after commencement (5/13/2024)" sqref="B14" xr:uid="{052C3810-9780-4542-9478-FBFE0BCBFB62}">
      <formula1>B14&gt;DATE(2024,5,12)</formula1>
    </dataValidation>
    <dataValidation type="custom" allowBlank="1" showInputMessage="1" showErrorMessage="1" error="Please enter a date before fall classes begin." sqref="C17" xr:uid="{BC85A773-E0E7-4CDF-A840-5E2375210BBB}">
      <formula1>C17&lt;DATE(2024,8,17)</formula1>
    </dataValidation>
  </dataValidations>
  <pageMargins left="0.7" right="0.7" top="0.75" bottom="0.75" header="0.3" footer="0.3"/>
  <pageSetup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7294B-70AB-43AC-AC8F-989FBBE5AC27}">
  <dimension ref="A1:U38"/>
  <sheetViews>
    <sheetView topLeftCell="A8" zoomScale="140" zoomScaleNormal="140" workbookViewId="0">
      <selection activeCell="H19" sqref="H19"/>
    </sheetView>
  </sheetViews>
  <sheetFormatPr defaultColWidth="8.7265625" defaultRowHeight="14.5" x14ac:dyDescent="0.35"/>
  <cols>
    <col min="1" max="1" width="8.1796875" style="26" customWidth="1"/>
    <col min="2" max="3" width="9" style="26" customWidth="1"/>
    <col min="4" max="4" width="7" style="27" customWidth="1"/>
    <col min="5" max="5" width="9.1796875" style="27" hidden="1" customWidth="1"/>
    <col min="6" max="6" width="9.54296875" style="27" customWidth="1"/>
    <col min="7" max="7" width="9.26953125" style="27" bestFit="1" customWidth="1"/>
    <col min="8" max="8" width="12.7265625" style="28" customWidth="1"/>
    <col min="9" max="10" width="9.1796875" style="41" hidden="1" customWidth="1"/>
    <col min="11" max="12" width="9.1796875" style="26" customWidth="1"/>
    <col min="13" max="14" width="9.1796875" style="41" customWidth="1"/>
    <col min="15" max="15" width="9.54296875" style="26" customWidth="1"/>
    <col min="16" max="16" width="3" style="26" customWidth="1"/>
    <col min="17" max="17" width="31.54296875" style="26" customWidth="1"/>
    <col min="18" max="21" width="10.7265625" style="26" bestFit="1" customWidth="1"/>
    <col min="22" max="16384" width="8.7265625" style="26"/>
  </cols>
  <sheetData>
    <row r="1" spans="1:21" ht="15" thickBot="1" x14ac:dyDescent="0.4">
      <c r="A1" s="42" t="s">
        <v>10</v>
      </c>
      <c r="B1" s="43"/>
      <c r="C1" s="43"/>
      <c r="D1" s="44"/>
      <c r="E1" s="44"/>
      <c r="F1" s="44"/>
      <c r="G1" s="44"/>
      <c r="H1" s="45"/>
      <c r="I1" s="43"/>
      <c r="J1" s="43"/>
      <c r="K1" s="42"/>
      <c r="L1" s="46"/>
      <c r="M1" s="43"/>
      <c r="N1" s="43"/>
      <c r="O1" s="81"/>
    </row>
    <row r="2" spans="1:21" x14ac:dyDescent="0.35">
      <c r="A2" s="47"/>
      <c r="B2" s="48"/>
      <c r="C2" s="48"/>
      <c r="D2" s="49"/>
      <c r="E2" s="49"/>
      <c r="F2" s="49"/>
      <c r="G2" s="49"/>
      <c r="H2" s="50"/>
      <c r="I2" s="48"/>
      <c r="J2" s="26"/>
      <c r="K2" s="66"/>
      <c r="L2" s="82"/>
      <c r="M2" s="48"/>
      <c r="N2" s="26"/>
      <c r="O2" s="72"/>
      <c r="P2" s="57"/>
    </row>
    <row r="3" spans="1:21" x14ac:dyDescent="0.35">
      <c r="A3" s="25"/>
      <c r="F3" s="73" t="s">
        <v>28</v>
      </c>
      <c r="H3" s="51" t="s">
        <v>43</v>
      </c>
      <c r="I3" s="26"/>
      <c r="J3" s="26"/>
      <c r="K3" s="57"/>
      <c r="L3" s="57"/>
      <c r="M3" s="26"/>
      <c r="N3" s="26"/>
      <c r="O3" s="72"/>
      <c r="P3" s="57"/>
    </row>
    <row r="4" spans="1:21" x14ac:dyDescent="0.35">
      <c r="A4" s="25"/>
      <c r="F4" s="73" t="s">
        <v>29</v>
      </c>
      <c r="H4" s="51">
        <v>710000000</v>
      </c>
      <c r="I4" s="26"/>
      <c r="J4" s="26"/>
      <c r="K4" s="57"/>
      <c r="L4" s="57"/>
      <c r="M4" s="26"/>
      <c r="N4" s="26"/>
      <c r="O4" s="72"/>
      <c r="P4" s="57"/>
    </row>
    <row r="5" spans="1:21" x14ac:dyDescent="0.35">
      <c r="A5" s="25"/>
      <c r="I5" s="26"/>
      <c r="J5" s="26"/>
      <c r="K5" s="57"/>
      <c r="L5" s="57"/>
      <c r="M5" s="26"/>
      <c r="N5" s="26"/>
      <c r="O5" s="72"/>
      <c r="P5" s="57"/>
    </row>
    <row r="6" spans="1:21" x14ac:dyDescent="0.35">
      <c r="A6" s="124" t="s">
        <v>31</v>
      </c>
      <c r="B6" s="125"/>
      <c r="C6" s="125"/>
      <c r="D6" s="125"/>
      <c r="E6" s="125"/>
      <c r="F6" s="125"/>
      <c r="H6" s="23">
        <v>90000</v>
      </c>
      <c r="I6" s="26"/>
      <c r="J6" s="26"/>
      <c r="K6" s="57"/>
      <c r="L6" s="57"/>
      <c r="M6" s="26"/>
      <c r="N6" s="26"/>
      <c r="O6" s="72"/>
      <c r="P6" s="57"/>
    </row>
    <row r="7" spans="1:21" x14ac:dyDescent="0.35">
      <c r="A7" s="124" t="s">
        <v>11</v>
      </c>
      <c r="B7" s="125"/>
      <c r="C7" s="125"/>
      <c r="D7" s="125"/>
      <c r="E7" s="125"/>
      <c r="F7" s="125"/>
      <c r="H7" s="53">
        <f>H6/3</f>
        <v>30000</v>
      </c>
      <c r="I7" s="26"/>
      <c r="J7" s="26"/>
      <c r="K7" s="57"/>
      <c r="L7" s="57"/>
      <c r="M7" s="26"/>
      <c r="N7" s="26"/>
      <c r="O7" s="72"/>
      <c r="P7" s="57"/>
    </row>
    <row r="8" spans="1:21" x14ac:dyDescent="0.35">
      <c r="A8" s="124" t="s">
        <v>19</v>
      </c>
      <c r="B8" s="125"/>
      <c r="C8" s="125"/>
      <c r="D8" s="125"/>
      <c r="E8" s="125"/>
      <c r="F8" s="125"/>
      <c r="H8" s="53">
        <f>H6/9</f>
        <v>10000</v>
      </c>
      <c r="I8" s="62"/>
      <c r="J8" s="62"/>
      <c r="K8" s="57"/>
      <c r="L8" s="57"/>
      <c r="M8" s="62"/>
      <c r="N8" s="62"/>
      <c r="O8" s="72"/>
      <c r="P8" s="57"/>
    </row>
    <row r="9" spans="1:21" x14ac:dyDescent="0.35">
      <c r="A9" s="126" t="s">
        <v>32</v>
      </c>
      <c r="B9" s="127"/>
      <c r="C9" s="127"/>
      <c r="D9" s="127"/>
      <c r="E9" s="127"/>
      <c r="F9" s="127"/>
      <c r="G9" s="86"/>
      <c r="H9" s="56"/>
      <c r="I9" s="26"/>
      <c r="J9" s="26"/>
      <c r="K9" s="57"/>
      <c r="L9" s="57"/>
      <c r="M9" s="26"/>
      <c r="N9" s="26"/>
      <c r="O9" s="72"/>
      <c r="P9" s="57"/>
    </row>
    <row r="10" spans="1:21" x14ac:dyDescent="0.35">
      <c r="A10" s="25"/>
      <c r="H10" s="35"/>
      <c r="I10" s="26"/>
      <c r="J10" s="26"/>
      <c r="K10" s="57"/>
      <c r="L10" s="57"/>
      <c r="M10" s="26"/>
      <c r="N10" s="26"/>
      <c r="O10" s="72"/>
      <c r="P10" s="57"/>
    </row>
    <row r="11" spans="1:21" ht="62.15" customHeight="1" x14ac:dyDescent="0.35">
      <c r="A11" s="128" t="s">
        <v>54</v>
      </c>
      <c r="B11" s="129"/>
      <c r="C11" s="129"/>
      <c r="D11" s="129"/>
      <c r="E11" s="129"/>
      <c r="F11" s="129"/>
      <c r="G11" s="129"/>
      <c r="H11" s="129"/>
      <c r="I11" s="129"/>
      <c r="J11" s="130"/>
      <c r="K11" s="130"/>
      <c r="L11" s="130"/>
      <c r="M11" s="130"/>
      <c r="N11" s="130"/>
      <c r="O11" s="131"/>
      <c r="P11" s="57"/>
      <c r="Q11" s="135" t="s">
        <v>52</v>
      </c>
      <c r="R11" s="136"/>
      <c r="S11" s="136"/>
      <c r="T11" s="136"/>
      <c r="U11" s="136"/>
    </row>
    <row r="12" spans="1:21" ht="15.5" customHeight="1" thickBot="1" x14ac:dyDescent="0.4">
      <c r="A12" s="25"/>
      <c r="I12" s="61"/>
      <c r="J12" s="26"/>
      <c r="L12" s="61"/>
      <c r="M12" s="26"/>
      <c r="N12" s="26"/>
      <c r="O12" s="30"/>
      <c r="Q12" s="137"/>
      <c r="R12" s="137"/>
      <c r="S12" s="137"/>
      <c r="T12" s="137"/>
      <c r="U12" s="137"/>
    </row>
    <row r="13" spans="1:21" ht="43.5" x14ac:dyDescent="0.35">
      <c r="A13" s="25"/>
      <c r="B13" s="67" t="s">
        <v>1</v>
      </c>
      <c r="C13" s="67" t="s">
        <v>16</v>
      </c>
      <c r="D13" s="67" t="s">
        <v>17</v>
      </c>
      <c r="E13" s="67"/>
      <c r="F13" s="95" t="s">
        <v>45</v>
      </c>
      <c r="G13" s="67" t="s">
        <v>21</v>
      </c>
      <c r="H13" s="96" t="s">
        <v>39</v>
      </c>
      <c r="I13" s="65" t="s">
        <v>30</v>
      </c>
      <c r="J13" s="74" t="s">
        <v>35</v>
      </c>
      <c r="K13" s="87" t="s">
        <v>33</v>
      </c>
      <c r="L13" s="88" t="s">
        <v>34</v>
      </c>
      <c r="M13" s="97" t="s">
        <v>37</v>
      </c>
      <c r="N13" s="98" t="s">
        <v>55</v>
      </c>
      <c r="O13" s="99" t="s">
        <v>44</v>
      </c>
      <c r="Q13" s="106" t="s">
        <v>53</v>
      </c>
      <c r="U13" s="107"/>
    </row>
    <row r="14" spans="1:21" x14ac:dyDescent="0.35">
      <c r="A14" s="52" t="s">
        <v>12</v>
      </c>
      <c r="B14" s="24">
        <v>45425</v>
      </c>
      <c r="C14" s="68">
        <v>45436</v>
      </c>
      <c r="D14" s="69">
        <f>NETWORKDAYS(B14,C14)</f>
        <v>10</v>
      </c>
      <c r="E14" s="69">
        <f>NETWORKDAYS(DATE(YEAR(B14),MONTH(B14),1),DATE(YEAR(C14),MONTH(C14),DAY(EOMONTH(C14,0))))</f>
        <v>23</v>
      </c>
      <c r="F14" s="69">
        <f>ROUND($H$8/(NETWORKDAYS(DATE(YEAR(B14),MONTH(B14),1),DATE(YEAR(C14),MONTH(C14),DAY(EOMONTH(C14,0))))),2)</f>
        <v>434.78</v>
      </c>
      <c r="G14" s="70" t="str">
        <f>IF(((F14*D14)+(F17*D17))&gt;(H7-(H15+H16)),ROUND(F14*((H7-H15-H16)/(D14*F14+D17*F17)),4)," ")</f>
        <v xml:space="preserve"> </v>
      </c>
      <c r="H14" s="54">
        <f>IF(G14=" ",ROUND(D14*F14,0),ROUND(G14*D14,0))</f>
        <v>4348</v>
      </c>
      <c r="I14" s="58">
        <v>3000</v>
      </c>
      <c r="J14" s="75">
        <f>IF(ISBLANK(I14)," ",IF(G14=" ",ROUND(I14/F14,2),ROUND(I14/G14,2)))</f>
        <v>6.9</v>
      </c>
      <c r="K14" s="89" t="str">
        <f>IF(ISBLANK($H$9)," ",IF($H$8*12&gt;$H$9,ROUND(IF(ISBLANK(M14),H14,M14)*($H$9/($H$8*12)),0)," "))</f>
        <v xml:space="preserve"> </v>
      </c>
      <c r="L14" s="90" t="str">
        <f>IF(ISBLANK($H$9)," ",IF(K14=" "," ",IF(ISBLANK(M14),H14,M14)-K14))</f>
        <v xml:space="preserve"> </v>
      </c>
      <c r="M14" s="79"/>
      <c r="N14" s="78"/>
      <c r="O14" s="84" t="str">
        <f>IF(ISBLANK(N14)," ",ROUND(M14/N14,2))</f>
        <v xml:space="preserve"> </v>
      </c>
      <c r="Q14" s="78"/>
      <c r="R14" s="101" t="s">
        <v>12</v>
      </c>
      <c r="S14" s="101" t="s">
        <v>38</v>
      </c>
      <c r="T14" s="101" t="s">
        <v>14</v>
      </c>
      <c r="U14" s="101" t="s">
        <v>15</v>
      </c>
    </row>
    <row r="15" spans="1:21" x14ac:dyDescent="0.35">
      <c r="A15" s="52" t="s">
        <v>13</v>
      </c>
      <c r="B15" s="68">
        <v>45444</v>
      </c>
      <c r="C15" s="68">
        <v>45462</v>
      </c>
      <c r="D15" s="69">
        <f t="shared" ref="D15:D17" si="0">NETWORKDAYS(B15,C15)</f>
        <v>13</v>
      </c>
      <c r="E15" s="69">
        <f t="shared" ref="E15:E17" si="1">NETWORKDAYS(DATE(YEAR(B15),MONTH(B15),1),DATE(YEAR(C15),MONTH(C15),DAY(EOMONTH(C15,0))))</f>
        <v>20</v>
      </c>
      <c r="F15" s="69">
        <f>ROUND($H$8/(NETWORKDAYS(DATE(YEAR(B15),MONTH(B15),1),DATE(YEAR(C15),MONTH(C15),DAY(EOMONTH(C15,0))))),2)</f>
        <v>500</v>
      </c>
      <c r="G15" s="70" t="str">
        <f>" "</f>
        <v xml:space="preserve"> </v>
      </c>
      <c r="H15" s="54">
        <f>ROUND(F15*D15,0)</f>
        <v>6500</v>
      </c>
      <c r="I15" s="59"/>
      <c r="J15" s="76" t="str">
        <f t="shared" ref="J15:J17" si="2">IF(ISBLANK(I15)," ",IF(G15=" ",ROUND(I15/F15,2),ROUND(I15/G15,2)))</f>
        <v xml:space="preserve"> </v>
      </c>
      <c r="K15" s="91" t="str">
        <f>IF(ISBLANK($H$9)," ",IF($H$8*12&gt;$H$9,ROUND(H15*($H$9/($H$8*12)),0)," "))</f>
        <v xml:space="preserve"> </v>
      </c>
      <c r="L15" s="92" t="str">
        <f>IF(ISBLANK($H$9)," ",IF(K15=" "," ",H15-K15))</f>
        <v xml:space="preserve"> </v>
      </c>
      <c r="M15" s="79"/>
      <c r="N15" s="78"/>
      <c r="O15" s="84" t="str">
        <f>IF(ISBLANK(N15)," ",ROUND(M15/N15,2))</f>
        <v xml:space="preserve"> </v>
      </c>
      <c r="Q15" s="101" t="s">
        <v>39</v>
      </c>
      <c r="R15" s="102">
        <v>4348</v>
      </c>
      <c r="S15" s="102">
        <v>6500</v>
      </c>
      <c r="T15" s="102">
        <v>8696</v>
      </c>
      <c r="U15" s="102">
        <v>3182</v>
      </c>
    </row>
    <row r="16" spans="1:21" x14ac:dyDescent="0.35">
      <c r="A16" s="52" t="s">
        <v>14</v>
      </c>
      <c r="B16" s="68">
        <v>45474</v>
      </c>
      <c r="C16" s="68">
        <v>45499</v>
      </c>
      <c r="D16" s="69">
        <f t="shared" si="0"/>
        <v>20</v>
      </c>
      <c r="E16" s="69">
        <f t="shared" si="1"/>
        <v>23</v>
      </c>
      <c r="F16" s="69">
        <f>ROUND($H$8/(NETWORKDAYS(DATE(YEAR(B16),MONTH(B16),1),DATE(YEAR(C16),MONTH(C16),DAY(EOMONTH(C16,0))))),2)</f>
        <v>434.78</v>
      </c>
      <c r="G16" s="70" t="str">
        <f>" "</f>
        <v xml:space="preserve"> </v>
      </c>
      <c r="H16" s="54">
        <f>ROUND(F16*D16,0)</f>
        <v>8696</v>
      </c>
      <c r="I16" s="59"/>
      <c r="J16" s="76" t="str">
        <f t="shared" si="2"/>
        <v xml:space="preserve"> </v>
      </c>
      <c r="K16" s="91" t="str">
        <f>IF(ISBLANK($H$9)," ",IF($H$8*12&gt;$H$9,ROUND(H16*($H$9/($H$8*12)),0)," "))</f>
        <v xml:space="preserve"> </v>
      </c>
      <c r="L16" s="92" t="str">
        <f>IF(ISBLANK($H$9)," ",IF(K16=" "," ",H16-K16))</f>
        <v xml:space="preserve"> </v>
      </c>
      <c r="M16" s="79"/>
      <c r="N16" s="78"/>
      <c r="O16" s="84" t="str">
        <f>IF(ISBLANK(N16)," ",ROUND(M16/N16,2))</f>
        <v xml:space="preserve"> </v>
      </c>
      <c r="Q16" s="101" t="s">
        <v>40</v>
      </c>
      <c r="R16" s="103">
        <v>45425</v>
      </c>
      <c r="S16" s="103">
        <v>45444</v>
      </c>
      <c r="T16" s="103">
        <v>45474</v>
      </c>
      <c r="U16" s="103">
        <v>45505</v>
      </c>
    </row>
    <row r="17" spans="1:21" ht="15" thickBot="1" x14ac:dyDescent="0.4">
      <c r="A17" s="52" t="s">
        <v>15</v>
      </c>
      <c r="B17" s="68">
        <v>45505</v>
      </c>
      <c r="C17" s="24">
        <v>45513</v>
      </c>
      <c r="D17" s="69">
        <f t="shared" si="0"/>
        <v>7</v>
      </c>
      <c r="E17" s="69">
        <f t="shared" si="1"/>
        <v>22</v>
      </c>
      <c r="F17" s="69">
        <f>ROUND($H$8/(NETWORKDAYS(DATE(YEAR(B17),MONTH(B17),1),DATE(YEAR(C17),MONTH(C17),DAY(EOMONTH(C17,0))))),2)</f>
        <v>454.55</v>
      </c>
      <c r="G17" s="70" t="str">
        <f>IF(((F14*D14)+(F17*D17))&gt;(H7-(H15+H16)),ROUND(F17*((H7-H15-H16)/(D14*F14+D17*F17)),4)," ")</f>
        <v xml:space="preserve"> </v>
      </c>
      <c r="H17" s="55">
        <f>IF(G17=" ",ROUND(D17*F17,0),ROUND(G17*D17,0))</f>
        <v>3182</v>
      </c>
      <c r="I17" s="60"/>
      <c r="J17" s="77" t="str">
        <f t="shared" si="2"/>
        <v xml:space="preserve"> </v>
      </c>
      <c r="K17" s="93" t="str">
        <f>IF(ISBLANK($H$9)," ",IF($H$8*12&gt;$H$9,ROUND(H17*($H$9/($H$8*12)),0)," "))</f>
        <v xml:space="preserve"> </v>
      </c>
      <c r="L17" s="94" t="str">
        <f>IF(ISBLANK($H$9)," ",IF(K17=" "," ",H17-K17))</f>
        <v xml:space="preserve"> </v>
      </c>
      <c r="M17" s="80"/>
      <c r="N17" s="83"/>
      <c r="O17" s="85" t="str">
        <f>IF(ISBLANK(N17)," ",ROUND(M17/N17,2))</f>
        <v xml:space="preserve"> </v>
      </c>
      <c r="Q17" s="101" t="s">
        <v>41</v>
      </c>
      <c r="R17" s="103">
        <v>45436</v>
      </c>
      <c r="S17" s="103">
        <v>45462</v>
      </c>
      <c r="T17" s="103">
        <v>45499</v>
      </c>
      <c r="U17" s="103">
        <v>45520</v>
      </c>
    </row>
    <row r="18" spans="1:21" ht="30.65" customHeight="1" x14ac:dyDescent="0.35">
      <c r="A18" s="25"/>
      <c r="H18" s="35"/>
      <c r="I18" s="63"/>
      <c r="J18" s="26"/>
      <c r="L18" s="63"/>
      <c r="M18" s="26"/>
      <c r="N18" s="26"/>
      <c r="O18" s="30"/>
      <c r="Q18" s="101" t="s">
        <v>18</v>
      </c>
      <c r="R18" s="104">
        <v>434.78</v>
      </c>
      <c r="S18" s="104">
        <v>500</v>
      </c>
      <c r="T18" s="104">
        <v>434.78</v>
      </c>
      <c r="U18" s="104">
        <v>454.55</v>
      </c>
    </row>
    <row r="19" spans="1:21" x14ac:dyDescent="0.35">
      <c r="A19" s="52" t="s">
        <v>5</v>
      </c>
      <c r="H19" s="35">
        <f>SUM(IF(OR(ISBLANK(M14),M14=0),H14,M14),IF(OR(ISBLANK(M15),M15=0),H15,M15),IF(OR(ISBLANK(M16),M16=0),H16,M16),IF(OR(ISBLANK(M17),M17=0),H17,M17))</f>
        <v>22726</v>
      </c>
      <c r="I19" s="26"/>
      <c r="J19" s="26"/>
      <c r="M19" s="26"/>
      <c r="N19" s="26"/>
      <c r="O19" s="30"/>
      <c r="Q19" s="101" t="s">
        <v>42</v>
      </c>
      <c r="R19" s="78">
        <v>10</v>
      </c>
      <c r="S19" s="78">
        <v>13</v>
      </c>
      <c r="T19" s="78">
        <v>20</v>
      </c>
      <c r="U19" s="78">
        <v>7</v>
      </c>
    </row>
    <row r="20" spans="1:21" x14ac:dyDescent="0.35">
      <c r="A20" s="25"/>
      <c r="H20" s="35"/>
      <c r="I20" s="26"/>
      <c r="J20" s="26"/>
      <c r="M20" s="26"/>
      <c r="N20" s="26"/>
      <c r="O20" s="30"/>
    </row>
    <row r="21" spans="1:21" x14ac:dyDescent="0.35">
      <c r="A21" s="52" t="s">
        <v>20</v>
      </c>
      <c r="H21" s="35">
        <f>H7</f>
        <v>30000</v>
      </c>
      <c r="I21" s="26"/>
      <c r="J21" s="26"/>
      <c r="M21" s="26"/>
      <c r="N21" s="26"/>
      <c r="O21" s="30"/>
    </row>
    <row r="22" spans="1:21" x14ac:dyDescent="0.35">
      <c r="A22" s="25"/>
      <c r="B22" s="71"/>
      <c r="H22" s="35"/>
      <c r="I22" s="26"/>
      <c r="J22" s="26"/>
      <c r="M22" s="26"/>
      <c r="N22" s="26"/>
      <c r="O22" s="30"/>
    </row>
    <row r="23" spans="1:21" ht="15" thickBot="1" x14ac:dyDescent="0.4">
      <c r="A23" s="36" t="s">
        <v>57</v>
      </c>
      <c r="B23" s="37"/>
      <c r="C23" s="37"/>
      <c r="D23" s="38"/>
      <c r="E23" s="38"/>
      <c r="F23" s="38"/>
      <c r="G23" s="38"/>
      <c r="H23" s="39"/>
      <c r="I23" s="37"/>
      <c r="J23" s="37"/>
      <c r="K23" s="37"/>
      <c r="L23" s="37"/>
      <c r="M23" s="37"/>
      <c r="N23" s="37"/>
      <c r="O23" s="40"/>
    </row>
    <row r="24" spans="1:21" x14ac:dyDescent="0.35">
      <c r="A24" s="25"/>
      <c r="I24" s="64"/>
      <c r="L24" s="48"/>
      <c r="M24" s="64"/>
      <c r="O24" s="30"/>
    </row>
    <row r="25" spans="1:21" x14ac:dyDescent="0.35">
      <c r="A25" s="29" t="s">
        <v>22</v>
      </c>
      <c r="D25" s="26"/>
      <c r="E25" s="26"/>
      <c r="F25" s="26"/>
      <c r="G25" s="26"/>
      <c r="H25" s="26"/>
      <c r="I25" s="26"/>
      <c r="J25" s="26"/>
      <c r="M25" s="26"/>
      <c r="N25" s="26"/>
      <c r="O25" s="30"/>
    </row>
    <row r="26" spans="1:21" x14ac:dyDescent="0.35">
      <c r="A26" s="29"/>
      <c r="D26" s="26"/>
      <c r="E26" s="26"/>
      <c r="F26" s="26"/>
      <c r="G26" s="26"/>
      <c r="H26" s="26"/>
      <c r="I26" s="26"/>
      <c r="J26" s="26"/>
      <c r="M26" s="26"/>
      <c r="N26" s="26"/>
      <c r="O26" s="30"/>
    </row>
    <row r="27" spans="1:21" x14ac:dyDescent="0.35">
      <c r="A27" s="31" t="s">
        <v>23</v>
      </c>
      <c r="D27" s="26"/>
      <c r="E27" s="26"/>
      <c r="F27" s="26"/>
      <c r="G27" s="26"/>
      <c r="H27" s="26"/>
      <c r="I27" s="26"/>
      <c r="J27" s="26"/>
      <c r="M27" s="26"/>
      <c r="N27" s="26"/>
      <c r="O27" s="30"/>
    </row>
    <row r="28" spans="1:21" x14ac:dyDescent="0.35">
      <c r="A28" s="31"/>
      <c r="D28" s="26"/>
      <c r="E28" s="26"/>
      <c r="F28" s="26"/>
      <c r="G28" s="26"/>
      <c r="H28" s="26"/>
      <c r="I28" s="26"/>
      <c r="J28" s="26"/>
      <c r="M28" s="26"/>
      <c r="N28" s="26"/>
      <c r="O28" s="30"/>
    </row>
    <row r="29" spans="1:21" x14ac:dyDescent="0.35">
      <c r="A29" s="31" t="s">
        <v>24</v>
      </c>
      <c r="D29" s="26"/>
      <c r="E29" s="26"/>
      <c r="F29" s="26"/>
      <c r="G29" s="26"/>
      <c r="H29" s="26"/>
      <c r="I29" s="26"/>
      <c r="J29" s="26"/>
      <c r="M29" s="26"/>
      <c r="N29" s="26"/>
      <c r="O29" s="30"/>
    </row>
    <row r="30" spans="1:21" x14ac:dyDescent="0.35">
      <c r="A30" s="31"/>
      <c r="B30" s="26" t="s">
        <v>25</v>
      </c>
      <c r="D30" s="26"/>
      <c r="E30" s="26"/>
      <c r="F30" s="26"/>
      <c r="G30" s="26"/>
      <c r="H30" s="26"/>
      <c r="I30" s="26"/>
      <c r="J30" s="26"/>
      <c r="M30" s="26"/>
      <c r="N30" s="26"/>
      <c r="O30" s="30"/>
    </row>
    <row r="31" spans="1:21" x14ac:dyDescent="0.35">
      <c r="A31" s="31"/>
      <c r="D31" s="26"/>
      <c r="E31" s="26"/>
      <c r="F31" s="26"/>
      <c r="G31" s="26"/>
      <c r="H31" s="26"/>
      <c r="I31" s="26"/>
      <c r="J31" s="26"/>
      <c r="M31" s="26"/>
      <c r="N31" s="26"/>
      <c r="O31" s="30"/>
    </row>
    <row r="32" spans="1:21" x14ac:dyDescent="0.35">
      <c r="A32" s="32" t="s">
        <v>26</v>
      </c>
      <c r="D32" s="26"/>
      <c r="E32" s="26"/>
      <c r="F32" s="26"/>
      <c r="G32" s="26"/>
      <c r="H32" s="26"/>
      <c r="I32" s="26"/>
      <c r="J32" s="26"/>
      <c r="M32" s="26"/>
      <c r="N32" s="26"/>
      <c r="O32" s="30"/>
    </row>
    <row r="33" spans="1:15" x14ac:dyDescent="0.35">
      <c r="A33" s="32"/>
      <c r="D33" s="26"/>
      <c r="E33" s="26"/>
      <c r="F33" s="26"/>
      <c r="G33" s="26"/>
      <c r="H33" s="26"/>
      <c r="I33" s="26"/>
      <c r="J33" s="26"/>
      <c r="M33" s="26"/>
      <c r="N33" s="26"/>
      <c r="O33" s="30"/>
    </row>
    <row r="34" spans="1:15" x14ac:dyDescent="0.35">
      <c r="A34" s="25" t="s">
        <v>27</v>
      </c>
      <c r="D34" s="26"/>
      <c r="E34" s="26"/>
      <c r="F34" s="26"/>
      <c r="G34" s="26"/>
      <c r="H34" s="26"/>
      <c r="I34" s="26"/>
      <c r="J34" s="26"/>
      <c r="M34" s="26"/>
      <c r="N34" s="26"/>
      <c r="O34" s="30"/>
    </row>
    <row r="35" spans="1:15" x14ac:dyDescent="0.35">
      <c r="A35" s="25"/>
      <c r="D35" s="26"/>
      <c r="E35" s="26"/>
      <c r="F35" s="26"/>
      <c r="G35" s="26"/>
      <c r="H35" s="26"/>
      <c r="I35" s="26"/>
      <c r="J35" s="26"/>
      <c r="M35" s="26"/>
      <c r="N35" s="26"/>
      <c r="O35" s="30"/>
    </row>
    <row r="36" spans="1:15" x14ac:dyDescent="0.35">
      <c r="A36" s="25" t="s">
        <v>36</v>
      </c>
      <c r="D36" s="26"/>
      <c r="E36" s="26"/>
      <c r="F36" s="26"/>
      <c r="G36" s="26"/>
      <c r="H36" s="26"/>
      <c r="I36" s="26"/>
      <c r="J36" s="26"/>
      <c r="M36" s="26"/>
      <c r="N36" s="26"/>
      <c r="O36" s="30"/>
    </row>
    <row r="37" spans="1:15" x14ac:dyDescent="0.35">
      <c r="A37" s="25"/>
      <c r="D37" s="26"/>
      <c r="E37" s="26"/>
      <c r="F37" s="26"/>
      <c r="G37" s="26"/>
      <c r="H37" s="26"/>
      <c r="I37" s="26"/>
      <c r="J37" s="26"/>
      <c r="M37" s="26"/>
      <c r="N37" s="26"/>
      <c r="O37" s="30"/>
    </row>
    <row r="38" spans="1:15" ht="15" thickBot="1" x14ac:dyDescent="0.4">
      <c r="A38" s="33" t="s">
        <v>64</v>
      </c>
      <c r="B38" s="34"/>
      <c r="C38" s="34"/>
      <c r="D38" s="34"/>
      <c r="E38" s="34"/>
      <c r="F38" s="34"/>
      <c r="G38" s="34"/>
      <c r="H38" s="34"/>
      <c r="I38" s="34"/>
      <c r="J38" s="34"/>
      <c r="K38" s="37"/>
      <c r="L38" s="37"/>
      <c r="M38" s="34"/>
      <c r="N38" s="34"/>
      <c r="O38" s="40"/>
    </row>
  </sheetData>
  <mergeCells count="6">
    <mergeCell ref="Q11:U12"/>
    <mergeCell ref="A6:F6"/>
    <mergeCell ref="A7:F7"/>
    <mergeCell ref="A8:F8"/>
    <mergeCell ref="A9:F9"/>
    <mergeCell ref="A11:O11"/>
  </mergeCells>
  <conditionalFormatting sqref="K13:L17">
    <cfRule type="expression" dxfId="2" priority="1">
      <formula>($H$9)</formula>
    </cfRule>
  </conditionalFormatting>
  <dataValidations disablePrompts="1" count="2">
    <dataValidation type="custom" allowBlank="1" showInputMessage="1" showErrorMessage="1" error="Please enter a date equal to or later than the Monday after commencement (5/13/2024)" sqref="B14" xr:uid="{A2D9A765-1AE8-41FE-A533-0E5FB2C0BC0A}">
      <formula1>B14&gt;DATE(2024,5,12)</formula1>
    </dataValidation>
    <dataValidation type="custom" allowBlank="1" showInputMessage="1" showErrorMessage="1" error="Please enter a date before fall classes begin." sqref="C17" xr:uid="{DD6C9467-E231-4179-8BA0-487458102FAE}">
      <formula1>C17&lt;DATE(2024,8,17)</formula1>
    </dataValidation>
  </dataValidations>
  <pageMargins left="0.7" right="0.7" top="0.75" bottom="0.75" header="0.3" footer="0.3"/>
  <pageSetup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6605-A292-41D9-BAEF-25925A28B561}">
  <dimension ref="A1:U38"/>
  <sheetViews>
    <sheetView topLeftCell="A11" zoomScale="140" zoomScaleNormal="140" workbookViewId="0">
      <selection activeCell="H19" sqref="H19"/>
    </sheetView>
  </sheetViews>
  <sheetFormatPr defaultColWidth="8.7265625" defaultRowHeight="14.5" x14ac:dyDescent="0.35"/>
  <cols>
    <col min="1" max="1" width="8.1796875" style="26" customWidth="1"/>
    <col min="2" max="3" width="9" style="26" customWidth="1"/>
    <col min="4" max="4" width="6.54296875" style="27" customWidth="1"/>
    <col min="5" max="5" width="9.1796875" style="27" hidden="1" customWidth="1"/>
    <col min="6" max="6" width="10.81640625" style="27" customWidth="1"/>
    <col min="7" max="7" width="9.26953125" style="27" bestFit="1" customWidth="1"/>
    <col min="8" max="8" width="12.7265625" style="28" customWidth="1"/>
    <col min="9" max="10" width="9.1796875" style="41" hidden="1" customWidth="1"/>
    <col min="11" max="12" width="9.1796875" style="26" customWidth="1"/>
    <col min="13" max="14" width="9.1796875" style="41" customWidth="1"/>
    <col min="15" max="15" width="9.54296875" style="26" customWidth="1"/>
    <col min="16" max="16" width="2.54296875" style="26" customWidth="1"/>
    <col min="17" max="17" width="33.54296875" style="26" customWidth="1"/>
    <col min="18" max="21" width="10.7265625" style="26" bestFit="1" customWidth="1"/>
    <col min="22" max="16384" width="8.7265625" style="26"/>
  </cols>
  <sheetData>
    <row r="1" spans="1:21" ht="15" thickBot="1" x14ac:dyDescent="0.4">
      <c r="A1" s="42" t="s">
        <v>10</v>
      </c>
      <c r="B1" s="43"/>
      <c r="C1" s="43"/>
      <c r="D1" s="44"/>
      <c r="E1" s="44"/>
      <c r="F1" s="44"/>
      <c r="G1" s="44"/>
      <c r="H1" s="45"/>
      <c r="I1" s="43"/>
      <c r="J1" s="43"/>
      <c r="K1" s="42"/>
      <c r="L1" s="46"/>
      <c r="M1" s="43"/>
      <c r="N1" s="43"/>
      <c r="O1" s="81"/>
    </row>
    <row r="2" spans="1:21" x14ac:dyDescent="0.35">
      <c r="A2" s="47"/>
      <c r="B2" s="48"/>
      <c r="C2" s="48"/>
      <c r="D2" s="49"/>
      <c r="E2" s="49"/>
      <c r="F2" s="49"/>
      <c r="G2" s="49"/>
      <c r="H2" s="50"/>
      <c r="I2" s="48"/>
      <c r="J2" s="26"/>
      <c r="K2" s="66"/>
      <c r="L2" s="82"/>
      <c r="M2" s="48"/>
      <c r="N2" s="26"/>
      <c r="O2" s="72"/>
      <c r="P2" s="57"/>
    </row>
    <row r="3" spans="1:21" x14ac:dyDescent="0.35">
      <c r="A3" s="25"/>
      <c r="F3" s="73" t="s">
        <v>28</v>
      </c>
      <c r="H3" s="51" t="s">
        <v>43</v>
      </c>
      <c r="I3" s="26"/>
      <c r="J3" s="26"/>
      <c r="K3" s="57"/>
      <c r="L3" s="57"/>
      <c r="M3" s="26"/>
      <c r="N3" s="26"/>
      <c r="O3" s="72"/>
      <c r="P3" s="57"/>
    </row>
    <row r="4" spans="1:21" x14ac:dyDescent="0.35">
      <c r="A4" s="25"/>
      <c r="F4" s="73" t="s">
        <v>29</v>
      </c>
      <c r="H4" s="51">
        <v>710000000</v>
      </c>
      <c r="I4" s="26"/>
      <c r="J4" s="26"/>
      <c r="K4" s="57"/>
      <c r="L4" s="57"/>
      <c r="M4" s="26"/>
      <c r="N4" s="26"/>
      <c r="O4" s="72"/>
      <c r="P4" s="57"/>
    </row>
    <row r="5" spans="1:21" x14ac:dyDescent="0.35">
      <c r="A5" s="25"/>
      <c r="I5" s="26"/>
      <c r="J5" s="26"/>
      <c r="K5" s="57"/>
      <c r="L5" s="57"/>
      <c r="M5" s="26"/>
      <c r="N5" s="26"/>
      <c r="O5" s="72"/>
      <c r="P5" s="57"/>
    </row>
    <row r="6" spans="1:21" x14ac:dyDescent="0.35">
      <c r="A6" s="124" t="s">
        <v>31</v>
      </c>
      <c r="B6" s="125"/>
      <c r="C6" s="125"/>
      <c r="D6" s="125"/>
      <c r="E6" s="125"/>
      <c r="F6" s="125"/>
      <c r="H6" s="23">
        <v>90000</v>
      </c>
      <c r="I6" s="26"/>
      <c r="J6" s="26"/>
      <c r="K6" s="57"/>
      <c r="L6" s="57"/>
      <c r="M6" s="26"/>
      <c r="N6" s="26"/>
      <c r="O6" s="72"/>
      <c r="P6" s="57"/>
    </row>
    <row r="7" spans="1:21" x14ac:dyDescent="0.35">
      <c r="A7" s="124" t="s">
        <v>11</v>
      </c>
      <c r="B7" s="125"/>
      <c r="C7" s="125"/>
      <c r="D7" s="125"/>
      <c r="E7" s="125"/>
      <c r="F7" s="125"/>
      <c r="H7" s="53">
        <f>H6/3</f>
        <v>30000</v>
      </c>
      <c r="I7" s="26"/>
      <c r="J7" s="26"/>
      <c r="K7" s="57"/>
      <c r="L7" s="57"/>
      <c r="M7" s="26"/>
      <c r="N7" s="26"/>
      <c r="O7" s="72"/>
      <c r="P7" s="57"/>
      <c r="Q7" s="135" t="s">
        <v>47</v>
      </c>
      <c r="R7" s="136"/>
      <c r="S7" s="136"/>
      <c r="T7" s="136"/>
      <c r="U7" s="136"/>
    </row>
    <row r="8" spans="1:21" x14ac:dyDescent="0.35">
      <c r="A8" s="124" t="s">
        <v>19</v>
      </c>
      <c r="B8" s="125"/>
      <c r="C8" s="125"/>
      <c r="D8" s="125"/>
      <c r="E8" s="125"/>
      <c r="F8" s="125"/>
      <c r="H8" s="53">
        <f>H6/9</f>
        <v>10000</v>
      </c>
      <c r="I8" s="62"/>
      <c r="J8" s="62"/>
      <c r="K8" s="57"/>
      <c r="L8" s="57"/>
      <c r="M8" s="62"/>
      <c r="N8" s="62"/>
      <c r="O8" s="72"/>
      <c r="P8" s="57"/>
      <c r="Q8" s="136"/>
      <c r="R8" s="136"/>
      <c r="S8" s="136"/>
      <c r="T8" s="136"/>
      <c r="U8" s="136"/>
    </row>
    <row r="9" spans="1:21" x14ac:dyDescent="0.35">
      <c r="A9" s="126" t="s">
        <v>32</v>
      </c>
      <c r="B9" s="127"/>
      <c r="C9" s="127"/>
      <c r="D9" s="127"/>
      <c r="E9" s="127"/>
      <c r="F9" s="127"/>
      <c r="G9" s="86"/>
      <c r="H9" s="56"/>
      <c r="I9" s="26"/>
      <c r="J9" s="26"/>
      <c r="K9" s="57"/>
      <c r="L9" s="57"/>
      <c r="M9" s="26"/>
      <c r="N9" s="26"/>
      <c r="O9" s="72"/>
      <c r="P9" s="57"/>
      <c r="Q9" s="136"/>
      <c r="R9" s="136"/>
      <c r="S9" s="136"/>
      <c r="T9" s="136"/>
      <c r="U9" s="136"/>
    </row>
    <row r="10" spans="1:21" ht="14.5" customHeight="1" x14ac:dyDescent="0.35">
      <c r="A10" s="25"/>
      <c r="H10" s="35"/>
      <c r="I10" s="26"/>
      <c r="J10" s="26"/>
      <c r="K10" s="57"/>
      <c r="L10" s="57"/>
      <c r="M10" s="26"/>
      <c r="N10" s="26"/>
      <c r="O10" s="72"/>
      <c r="P10" s="57"/>
      <c r="Q10" s="136"/>
      <c r="R10" s="136"/>
      <c r="S10" s="136"/>
      <c r="T10" s="136"/>
      <c r="U10" s="136"/>
    </row>
    <row r="11" spans="1:21" ht="62.15" customHeight="1" x14ac:dyDescent="0.35">
      <c r="A11" s="128" t="s">
        <v>54</v>
      </c>
      <c r="B11" s="129"/>
      <c r="C11" s="129"/>
      <c r="D11" s="129"/>
      <c r="E11" s="129"/>
      <c r="F11" s="129"/>
      <c r="G11" s="129"/>
      <c r="H11" s="129"/>
      <c r="I11" s="129"/>
      <c r="J11" s="130"/>
      <c r="K11" s="130"/>
      <c r="L11" s="130"/>
      <c r="M11" s="130"/>
      <c r="N11" s="130"/>
      <c r="O11" s="131"/>
      <c r="P11" s="57"/>
      <c r="Q11" s="136"/>
      <c r="R11" s="136"/>
      <c r="S11" s="136"/>
      <c r="T11" s="136"/>
      <c r="U11" s="136"/>
    </row>
    <row r="12" spans="1:21" ht="15.5" customHeight="1" thickBot="1" x14ac:dyDescent="0.4">
      <c r="A12" s="25"/>
      <c r="I12" s="61"/>
      <c r="J12" s="26"/>
      <c r="L12" s="61"/>
      <c r="M12" s="26"/>
      <c r="N12" s="26"/>
      <c r="O12" s="30"/>
      <c r="Q12" s="137"/>
      <c r="R12" s="137"/>
      <c r="S12" s="137"/>
      <c r="T12" s="137"/>
      <c r="U12" s="137"/>
    </row>
    <row r="13" spans="1:21" ht="43.5" x14ac:dyDescent="0.35">
      <c r="A13" s="25"/>
      <c r="B13" s="67" t="s">
        <v>1</v>
      </c>
      <c r="C13" s="67" t="s">
        <v>16</v>
      </c>
      <c r="D13" s="67" t="s">
        <v>17</v>
      </c>
      <c r="E13" s="67"/>
      <c r="F13" s="95" t="s">
        <v>45</v>
      </c>
      <c r="G13" s="67" t="s">
        <v>21</v>
      </c>
      <c r="H13" s="96" t="s">
        <v>39</v>
      </c>
      <c r="I13" s="65" t="s">
        <v>30</v>
      </c>
      <c r="J13" s="74" t="s">
        <v>35</v>
      </c>
      <c r="K13" s="87" t="s">
        <v>33</v>
      </c>
      <c r="L13" s="88" t="s">
        <v>34</v>
      </c>
      <c r="M13" s="97" t="s">
        <v>37</v>
      </c>
      <c r="N13" s="98" t="s">
        <v>55</v>
      </c>
      <c r="O13" s="99" t="s">
        <v>44</v>
      </c>
      <c r="Q13" s="108" t="s">
        <v>53</v>
      </c>
      <c r="U13" s="107"/>
    </row>
    <row r="14" spans="1:21" x14ac:dyDescent="0.35">
      <c r="A14" s="52" t="s">
        <v>12</v>
      </c>
      <c r="B14" s="24">
        <v>45425</v>
      </c>
      <c r="C14" s="68">
        <v>45443</v>
      </c>
      <c r="D14" s="69">
        <f>NETWORKDAYS(B14,C14)</f>
        <v>15</v>
      </c>
      <c r="E14" s="69">
        <f>NETWORKDAYS(DATE(YEAR(B14),MONTH(B14),1),DATE(YEAR(C14),MONTH(C14),DAY(EOMONTH(C14,0))))</f>
        <v>23</v>
      </c>
      <c r="F14" s="69">
        <f>ROUND($H$8/(NETWORKDAYS(DATE(YEAR(B14),MONTH(B14),1),DATE(YEAR(C14),MONTH(C14),DAY(EOMONTH(C14,0))))),2)</f>
        <v>434.78</v>
      </c>
      <c r="G14" s="70" t="str">
        <f>IF(((F14*D14)+(F17*D17))&gt;(H7-(H15+H16)),ROUND(F14*((H7-H15-H16)/(D14*F14+D17*F17)),4)," ")</f>
        <v xml:space="preserve"> </v>
      </c>
      <c r="H14" s="54">
        <f>IF(G14=" ",ROUND(D14*F14,0),ROUND(G14*D14,0))</f>
        <v>6522</v>
      </c>
      <c r="I14" s="58">
        <v>3000</v>
      </c>
      <c r="J14" s="75">
        <f>IF(ISBLANK(I14)," ",IF(G14=" ",ROUND(I14/F14,2),ROUND(I14/G14,2)))</f>
        <v>6.9</v>
      </c>
      <c r="K14" s="89" t="str">
        <f>IF(ISBLANK($H$9)," ",IF($H$8*12&gt;$H$9,ROUND(IF(ISBLANK(M14),H14,M14)*($H$9/($H$8*12)),0)," "))</f>
        <v xml:space="preserve"> </v>
      </c>
      <c r="L14" s="90" t="str">
        <f>IF(ISBLANK($H$9)," ",IF(K14=" "," ",IF(ISBLANK(M14),H14,M14)-K14))</f>
        <v xml:space="preserve"> </v>
      </c>
      <c r="M14" s="112">
        <v>5000</v>
      </c>
      <c r="N14" s="78">
        <v>14.5</v>
      </c>
      <c r="O14" s="84">
        <f>IF(ISBLANK(N14)," ",ROUND(M14/N14,2))</f>
        <v>344.83</v>
      </c>
      <c r="Q14" s="78"/>
      <c r="R14" s="101" t="s">
        <v>12</v>
      </c>
      <c r="S14" s="101" t="s">
        <v>38</v>
      </c>
      <c r="T14" s="101" t="s">
        <v>14</v>
      </c>
      <c r="U14" s="101" t="s">
        <v>15</v>
      </c>
    </row>
    <row r="15" spans="1:21" x14ac:dyDescent="0.35">
      <c r="A15" s="52" t="s">
        <v>13</v>
      </c>
      <c r="B15" s="68">
        <v>45444</v>
      </c>
      <c r="C15" s="68">
        <v>45462</v>
      </c>
      <c r="D15" s="69">
        <f t="shared" ref="D15:D17" si="0">NETWORKDAYS(B15,C15)</f>
        <v>13</v>
      </c>
      <c r="E15" s="69">
        <f t="shared" ref="E15:E17" si="1">NETWORKDAYS(DATE(YEAR(B15),MONTH(B15),1),DATE(YEAR(C15),MONTH(C15),DAY(EOMONTH(C15,0))))</f>
        <v>20</v>
      </c>
      <c r="F15" s="69">
        <f>ROUND($H$8/(NETWORKDAYS(DATE(YEAR(B15),MONTH(B15),1),DATE(YEAR(C15),MONTH(C15),DAY(EOMONTH(C15,0))))),2)</f>
        <v>500</v>
      </c>
      <c r="G15" s="70" t="str">
        <f>" "</f>
        <v xml:space="preserve"> </v>
      </c>
      <c r="H15" s="54">
        <f>ROUND(F15*D15,0)</f>
        <v>6500</v>
      </c>
      <c r="I15" s="59"/>
      <c r="J15" s="76" t="str">
        <f t="shared" ref="J15:J17" si="2">IF(ISBLANK(I15)," ",IF(G15=" ",ROUND(I15/F15,2),ROUND(I15/G15,2)))</f>
        <v xml:space="preserve"> </v>
      </c>
      <c r="K15" s="91" t="str">
        <f>IF(ISBLANK($H$9)," ",IF($H$8*12&gt;$H$9,ROUND(H15*($H$9/($H$8*12)),0)," "))</f>
        <v xml:space="preserve"> </v>
      </c>
      <c r="L15" s="92" t="str">
        <f>IF(ISBLANK($H$9)," ",IF(K15=" "," ",H15-K15))</f>
        <v xml:space="preserve"> </v>
      </c>
      <c r="M15" s="112">
        <v>5000</v>
      </c>
      <c r="N15" s="78">
        <v>13</v>
      </c>
      <c r="O15" s="84">
        <f>IF(ISBLANK(N15)," ",ROUND(M15/N15,2))</f>
        <v>384.62</v>
      </c>
      <c r="Q15" s="101" t="s">
        <v>39</v>
      </c>
      <c r="R15" s="102">
        <v>5000</v>
      </c>
      <c r="S15" s="102">
        <v>5000</v>
      </c>
      <c r="T15" s="102"/>
      <c r="U15" s="102"/>
    </row>
    <row r="16" spans="1:21" x14ac:dyDescent="0.35">
      <c r="A16" s="52" t="s">
        <v>14</v>
      </c>
      <c r="B16" s="68"/>
      <c r="C16" s="68"/>
      <c r="D16" s="69">
        <f t="shared" si="0"/>
        <v>0</v>
      </c>
      <c r="E16" s="69">
        <f t="shared" si="1"/>
        <v>22</v>
      </c>
      <c r="F16" s="69">
        <f>ROUND($H$8/(NETWORKDAYS(DATE(YEAR(B16),MONTH(B16),1),DATE(YEAR(C16),MONTH(C16),DAY(EOMONTH(C16,0))))),2)</f>
        <v>454.55</v>
      </c>
      <c r="G16" s="70" t="str">
        <f>" "</f>
        <v xml:space="preserve"> </v>
      </c>
      <c r="H16" s="54">
        <f>ROUND(F16*D16,0)</f>
        <v>0</v>
      </c>
      <c r="I16" s="59"/>
      <c r="J16" s="76" t="str">
        <f t="shared" si="2"/>
        <v xml:space="preserve"> </v>
      </c>
      <c r="K16" s="91" t="str">
        <f>IF(ISBLANK($H$9)," ",IF($H$8*12&gt;$H$9,ROUND(H16*($H$9/($H$8*12)),0)," "))</f>
        <v xml:space="preserve"> </v>
      </c>
      <c r="L16" s="92" t="str">
        <f>IF(ISBLANK($H$9)," ",IF(K16=" "," ",H16-K16))</f>
        <v xml:space="preserve"> </v>
      </c>
      <c r="M16" s="112"/>
      <c r="N16" s="78"/>
      <c r="O16" s="84" t="str">
        <f>IF(ISBLANK(N16)," ",ROUND(M16/N16,2))</f>
        <v xml:space="preserve"> </v>
      </c>
      <c r="Q16" s="101" t="s">
        <v>40</v>
      </c>
      <c r="R16" s="103">
        <v>45425</v>
      </c>
      <c r="S16" s="103">
        <v>45444</v>
      </c>
      <c r="T16" s="103"/>
      <c r="U16" s="103"/>
    </row>
    <row r="17" spans="1:21" ht="15" thickBot="1" x14ac:dyDescent="0.4">
      <c r="A17" s="52" t="s">
        <v>15</v>
      </c>
      <c r="B17" s="68"/>
      <c r="C17" s="24"/>
      <c r="D17" s="69">
        <f t="shared" si="0"/>
        <v>0</v>
      </c>
      <c r="E17" s="69">
        <f t="shared" si="1"/>
        <v>22</v>
      </c>
      <c r="F17" s="69">
        <f>ROUND($H$8/(NETWORKDAYS(DATE(YEAR(B17),MONTH(B17),1),DATE(YEAR(C17),MONTH(C17),DAY(EOMONTH(C17,0))))),2)</f>
        <v>454.55</v>
      </c>
      <c r="G17" s="70" t="str">
        <f>IF(((F14*D14)+(F17*D17))&gt;(H7-(H15+H16)),ROUND(F17*((H7-H15-H16)/(D14*F14+D17*F17)),4)," ")</f>
        <v xml:space="preserve"> </v>
      </c>
      <c r="H17" s="55">
        <f>IF(G17=" ",ROUND(D17*F17,0),ROUND(G17*D17,0))</f>
        <v>0</v>
      </c>
      <c r="I17" s="60"/>
      <c r="J17" s="77" t="str">
        <f t="shared" si="2"/>
        <v xml:space="preserve"> </v>
      </c>
      <c r="K17" s="93" t="str">
        <f>IF(ISBLANK($H$9)," ",IF($H$8*12&gt;$H$9,ROUND(H17*($H$9/($H$8*12)),0)," "))</f>
        <v xml:space="preserve"> </v>
      </c>
      <c r="L17" s="94" t="str">
        <f>IF(ISBLANK($H$9)," ",IF(K17=" "," ",H17-K17))</f>
        <v xml:space="preserve"> </v>
      </c>
      <c r="M17" s="113"/>
      <c r="N17" s="83"/>
      <c r="O17" s="85" t="str">
        <f>IF(ISBLANK(N17)," ",ROUND(M17/N17,2))</f>
        <v xml:space="preserve"> </v>
      </c>
      <c r="Q17" s="101" t="s">
        <v>41</v>
      </c>
      <c r="R17" s="103">
        <v>45443</v>
      </c>
      <c r="S17" s="103">
        <v>45462</v>
      </c>
      <c r="T17" s="103"/>
      <c r="U17" s="103"/>
    </row>
    <row r="18" spans="1:21" ht="30.65" customHeight="1" x14ac:dyDescent="0.35">
      <c r="A18" s="25"/>
      <c r="H18" s="35"/>
      <c r="I18" s="63"/>
      <c r="J18" s="26"/>
      <c r="L18" s="63"/>
      <c r="M18" s="26"/>
      <c r="N18" s="26"/>
      <c r="O18" s="30"/>
      <c r="Q18" s="101" t="s">
        <v>18</v>
      </c>
      <c r="R18" s="104">
        <v>344.83</v>
      </c>
      <c r="S18" s="104">
        <v>384.62</v>
      </c>
      <c r="T18" s="104"/>
      <c r="U18" s="104"/>
    </row>
    <row r="19" spans="1:21" x14ac:dyDescent="0.35">
      <c r="A19" s="52" t="s">
        <v>5</v>
      </c>
      <c r="H19" s="35">
        <f>SUM(IF(OR(ISBLANK(M14),M14=0),H14,M14),IF(OR(ISBLANK(M15),M15=0),H15,M15),IF(OR(ISBLANK(M16),M16=0),H16,M16),IF(OR(ISBLANK(M17),M17=0),H17,M17))</f>
        <v>10000</v>
      </c>
      <c r="I19" s="26"/>
      <c r="J19" s="26"/>
      <c r="M19" s="26"/>
      <c r="N19" s="26"/>
      <c r="O19" s="30"/>
      <c r="Q19" s="101" t="s">
        <v>42</v>
      </c>
      <c r="R19" s="78">
        <v>14.5</v>
      </c>
      <c r="S19" s="78">
        <v>13</v>
      </c>
      <c r="T19" s="78"/>
      <c r="U19" s="78"/>
    </row>
    <row r="20" spans="1:21" x14ac:dyDescent="0.35">
      <c r="A20" s="25"/>
      <c r="H20" s="35"/>
      <c r="I20" s="26"/>
      <c r="J20" s="26"/>
      <c r="M20" s="26"/>
      <c r="N20" s="26"/>
      <c r="O20" s="30"/>
    </row>
    <row r="21" spans="1:21" x14ac:dyDescent="0.35">
      <c r="A21" s="52" t="s">
        <v>20</v>
      </c>
      <c r="H21" s="35">
        <f>H7</f>
        <v>30000</v>
      </c>
      <c r="I21" s="26"/>
      <c r="J21" s="26"/>
      <c r="M21" s="26"/>
      <c r="N21" s="26"/>
      <c r="O21" s="30"/>
    </row>
    <row r="22" spans="1:21" x14ac:dyDescent="0.35">
      <c r="A22" s="25"/>
      <c r="B22" s="71"/>
      <c r="H22" s="35"/>
      <c r="I22" s="26"/>
      <c r="J22" s="26"/>
      <c r="M22" s="26"/>
      <c r="N22" s="26"/>
      <c r="O22" s="30"/>
    </row>
    <row r="23" spans="1:21" ht="15" thickBot="1" x14ac:dyDescent="0.4">
      <c r="A23" s="36" t="s">
        <v>57</v>
      </c>
      <c r="B23" s="37"/>
      <c r="C23" s="37"/>
      <c r="D23" s="38"/>
      <c r="E23" s="38"/>
      <c r="F23" s="38"/>
      <c r="G23" s="38"/>
      <c r="H23" s="39"/>
      <c r="I23" s="37"/>
      <c r="J23" s="37"/>
      <c r="K23" s="37"/>
      <c r="L23" s="37"/>
      <c r="M23" s="37"/>
      <c r="N23" s="37"/>
      <c r="O23" s="40"/>
    </row>
    <row r="24" spans="1:21" x14ac:dyDescent="0.35">
      <c r="A24" s="25"/>
      <c r="I24" s="64"/>
      <c r="L24" s="48"/>
      <c r="M24" s="64"/>
      <c r="O24" s="30"/>
    </row>
    <row r="25" spans="1:21" x14ac:dyDescent="0.35">
      <c r="A25" s="29" t="s">
        <v>22</v>
      </c>
      <c r="D25" s="26"/>
      <c r="E25" s="26"/>
      <c r="F25" s="26"/>
      <c r="G25" s="26"/>
      <c r="H25" s="26"/>
      <c r="I25" s="26"/>
      <c r="J25" s="26"/>
      <c r="M25" s="26"/>
      <c r="N25" s="26"/>
      <c r="O25" s="30"/>
    </row>
    <row r="26" spans="1:21" x14ac:dyDescent="0.35">
      <c r="A26" s="29"/>
      <c r="D26" s="26"/>
      <c r="E26" s="26"/>
      <c r="F26" s="26"/>
      <c r="G26" s="26"/>
      <c r="H26" s="26"/>
      <c r="I26" s="26"/>
      <c r="J26" s="26"/>
      <c r="M26" s="26"/>
      <c r="N26" s="26"/>
      <c r="O26" s="30"/>
    </row>
    <row r="27" spans="1:21" x14ac:dyDescent="0.35">
      <c r="A27" s="31" t="s">
        <v>23</v>
      </c>
      <c r="D27" s="26"/>
      <c r="E27" s="26"/>
      <c r="F27" s="26"/>
      <c r="G27" s="26"/>
      <c r="H27" s="26"/>
      <c r="I27" s="26"/>
      <c r="J27" s="26"/>
      <c r="M27" s="26"/>
      <c r="N27" s="26"/>
      <c r="O27" s="30"/>
    </row>
    <row r="28" spans="1:21" x14ac:dyDescent="0.35">
      <c r="A28" s="31"/>
      <c r="D28" s="26"/>
      <c r="E28" s="26"/>
      <c r="F28" s="26"/>
      <c r="G28" s="26"/>
      <c r="H28" s="26"/>
      <c r="I28" s="26"/>
      <c r="J28" s="26"/>
      <c r="M28" s="26"/>
      <c r="N28" s="26"/>
      <c r="O28" s="30"/>
    </row>
    <row r="29" spans="1:21" x14ac:dyDescent="0.35">
      <c r="A29" s="31" t="s">
        <v>24</v>
      </c>
      <c r="D29" s="26"/>
      <c r="E29" s="26"/>
      <c r="F29" s="26"/>
      <c r="G29" s="26"/>
      <c r="H29" s="26"/>
      <c r="I29" s="26"/>
      <c r="J29" s="26"/>
      <c r="M29" s="26"/>
      <c r="N29" s="26"/>
      <c r="O29" s="30"/>
    </row>
    <row r="30" spans="1:21" x14ac:dyDescent="0.35">
      <c r="A30" s="31"/>
      <c r="B30" s="26" t="s">
        <v>25</v>
      </c>
      <c r="D30" s="26"/>
      <c r="E30" s="26"/>
      <c r="F30" s="26"/>
      <c r="G30" s="26"/>
      <c r="H30" s="26"/>
      <c r="I30" s="26"/>
      <c r="J30" s="26"/>
      <c r="M30" s="26"/>
      <c r="N30" s="26"/>
      <c r="O30" s="30"/>
    </row>
    <row r="31" spans="1:21" x14ac:dyDescent="0.35">
      <c r="A31" s="31"/>
      <c r="D31" s="26"/>
      <c r="E31" s="26"/>
      <c r="F31" s="26"/>
      <c r="G31" s="26"/>
      <c r="H31" s="26"/>
      <c r="I31" s="26"/>
      <c r="J31" s="26"/>
      <c r="M31" s="26"/>
      <c r="N31" s="26"/>
      <c r="O31" s="30"/>
    </row>
    <row r="32" spans="1:21" x14ac:dyDescent="0.35">
      <c r="A32" s="32" t="s">
        <v>26</v>
      </c>
      <c r="D32" s="26"/>
      <c r="E32" s="26"/>
      <c r="F32" s="26"/>
      <c r="G32" s="26"/>
      <c r="H32" s="26"/>
      <c r="I32" s="26"/>
      <c r="J32" s="26"/>
      <c r="M32" s="26"/>
      <c r="N32" s="26"/>
      <c r="O32" s="30"/>
    </row>
    <row r="33" spans="1:15" x14ac:dyDescent="0.35">
      <c r="A33" s="32"/>
      <c r="D33" s="26"/>
      <c r="E33" s="26"/>
      <c r="F33" s="26"/>
      <c r="G33" s="26"/>
      <c r="H33" s="26"/>
      <c r="I33" s="26"/>
      <c r="J33" s="26"/>
      <c r="M33" s="26"/>
      <c r="N33" s="26"/>
      <c r="O33" s="30"/>
    </row>
    <row r="34" spans="1:15" x14ac:dyDescent="0.35">
      <c r="A34" s="25" t="s">
        <v>27</v>
      </c>
      <c r="D34" s="26"/>
      <c r="E34" s="26"/>
      <c r="F34" s="26"/>
      <c r="G34" s="26"/>
      <c r="H34" s="26"/>
      <c r="I34" s="26"/>
      <c r="J34" s="26"/>
      <c r="M34" s="26"/>
      <c r="N34" s="26"/>
      <c r="O34" s="30"/>
    </row>
    <row r="35" spans="1:15" x14ac:dyDescent="0.35">
      <c r="A35" s="25"/>
      <c r="D35" s="26"/>
      <c r="E35" s="26"/>
      <c r="F35" s="26"/>
      <c r="G35" s="26"/>
      <c r="H35" s="26"/>
      <c r="I35" s="26"/>
      <c r="J35" s="26"/>
      <c r="M35" s="26"/>
      <c r="N35" s="26"/>
      <c r="O35" s="30"/>
    </row>
    <row r="36" spans="1:15" x14ac:dyDescent="0.35">
      <c r="A36" s="25" t="s">
        <v>36</v>
      </c>
      <c r="D36" s="26"/>
      <c r="E36" s="26"/>
      <c r="F36" s="26"/>
      <c r="G36" s="26"/>
      <c r="H36" s="26"/>
      <c r="I36" s="26"/>
      <c r="J36" s="26"/>
      <c r="M36" s="26"/>
      <c r="N36" s="26"/>
      <c r="O36" s="30"/>
    </row>
    <row r="37" spans="1:15" x14ac:dyDescent="0.35">
      <c r="A37" s="25"/>
      <c r="D37" s="26"/>
      <c r="E37" s="26"/>
      <c r="F37" s="26"/>
      <c r="G37" s="26"/>
      <c r="H37" s="26"/>
      <c r="I37" s="26"/>
      <c r="J37" s="26"/>
      <c r="M37" s="26"/>
      <c r="N37" s="26"/>
      <c r="O37" s="30"/>
    </row>
    <row r="38" spans="1:15" ht="15" thickBot="1" x14ac:dyDescent="0.4">
      <c r="A38" s="33" t="s">
        <v>64</v>
      </c>
      <c r="B38" s="34"/>
      <c r="C38" s="34"/>
      <c r="D38" s="34"/>
      <c r="E38" s="34"/>
      <c r="F38" s="34"/>
      <c r="G38" s="34"/>
      <c r="H38" s="34"/>
      <c r="I38" s="34"/>
      <c r="J38" s="34"/>
      <c r="K38" s="37"/>
      <c r="L38" s="37"/>
      <c r="M38" s="34"/>
      <c r="N38" s="34"/>
      <c r="O38" s="40"/>
    </row>
  </sheetData>
  <mergeCells count="6">
    <mergeCell ref="Q7:U12"/>
    <mergeCell ref="A6:F6"/>
    <mergeCell ref="A7:F7"/>
    <mergeCell ref="A8:F8"/>
    <mergeCell ref="A9:F9"/>
    <mergeCell ref="A11:O11"/>
  </mergeCells>
  <conditionalFormatting sqref="K13:L17">
    <cfRule type="expression" dxfId="1" priority="1">
      <formula>($H$9)</formula>
    </cfRule>
  </conditionalFormatting>
  <dataValidations disablePrompts="1" count="2">
    <dataValidation type="custom" allowBlank="1" showInputMessage="1" showErrorMessage="1" error="Please enter a date before fall classes begin." sqref="C17" xr:uid="{1AD2B9A3-43F6-44C6-8026-9E5FC0257D8E}">
      <formula1>C17&lt;DATE(2024,8,17)</formula1>
    </dataValidation>
    <dataValidation type="custom" allowBlank="1" showInputMessage="1" showErrorMessage="1" error="Please enter a date equal to or later than the Monday after commencement (5/13/2024)" sqref="B14" xr:uid="{3575F761-D078-4331-B7B7-C75BF4F899A0}">
      <formula1>B14&gt;DATE(2024,5,12)</formula1>
    </dataValidation>
  </dataValidations>
  <pageMargins left="0.7" right="0.7" top="0.75" bottom="0.75" header="0.3" footer="0.3"/>
  <pageSetup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73DB-DCC6-4397-9A2E-6B4CB240D7F3}">
  <dimension ref="A1:U38"/>
  <sheetViews>
    <sheetView topLeftCell="A9" zoomScale="140" zoomScaleNormal="140" workbookViewId="0">
      <selection activeCell="H19" sqref="H19"/>
    </sheetView>
  </sheetViews>
  <sheetFormatPr defaultColWidth="8.7265625" defaultRowHeight="14.5" x14ac:dyDescent="0.35"/>
  <cols>
    <col min="1" max="1" width="8.1796875" style="26" customWidth="1"/>
    <col min="2" max="3" width="9" style="26" customWidth="1"/>
    <col min="4" max="4" width="6.7265625" style="27" customWidth="1"/>
    <col min="5" max="5" width="9.1796875" style="27" hidden="1" customWidth="1"/>
    <col min="6" max="6" width="11.453125" style="27" customWidth="1"/>
    <col min="7" max="7" width="9.26953125" style="27" bestFit="1" customWidth="1"/>
    <col min="8" max="8" width="12.7265625" style="28" customWidth="1"/>
    <col min="9" max="10" width="9.1796875" style="41" hidden="1" customWidth="1"/>
    <col min="11" max="12" width="9.1796875" style="26" customWidth="1"/>
    <col min="13" max="14" width="9.1796875" style="41" customWidth="1"/>
    <col min="15" max="15" width="9.54296875" style="26" customWidth="1"/>
    <col min="16" max="16" width="3" style="26" customWidth="1"/>
    <col min="17" max="17" width="32.7265625" style="26" customWidth="1"/>
    <col min="18" max="18" width="14.26953125" style="26" customWidth="1"/>
    <col min="19" max="19" width="13.54296875" style="26" customWidth="1"/>
    <col min="20" max="20" width="14.1796875" style="26" customWidth="1"/>
    <col min="21" max="21" width="13.453125" style="26" customWidth="1"/>
    <col min="22" max="16384" width="8.7265625" style="26"/>
  </cols>
  <sheetData>
    <row r="1" spans="1:21" ht="15" thickBot="1" x14ac:dyDescent="0.4">
      <c r="A1" s="42" t="s">
        <v>10</v>
      </c>
      <c r="B1" s="43"/>
      <c r="C1" s="43"/>
      <c r="D1" s="44"/>
      <c r="E1" s="44"/>
      <c r="F1" s="44"/>
      <c r="G1" s="44"/>
      <c r="H1" s="45"/>
      <c r="I1" s="43"/>
      <c r="J1" s="43"/>
      <c r="K1" s="42"/>
      <c r="L1" s="46"/>
      <c r="M1" s="43"/>
      <c r="N1" s="43"/>
      <c r="O1" s="81"/>
    </row>
    <row r="2" spans="1:21" x14ac:dyDescent="0.35">
      <c r="A2" s="47"/>
      <c r="B2" s="48"/>
      <c r="C2" s="48"/>
      <c r="D2" s="49"/>
      <c r="E2" s="49"/>
      <c r="F2" s="49"/>
      <c r="G2" s="49"/>
      <c r="H2" s="50"/>
      <c r="I2" s="48"/>
      <c r="J2" s="26"/>
      <c r="K2" s="66"/>
      <c r="L2" s="82"/>
      <c r="M2" s="48"/>
      <c r="N2" s="26"/>
      <c r="O2" s="72"/>
      <c r="P2" s="57"/>
    </row>
    <row r="3" spans="1:21" x14ac:dyDescent="0.35">
      <c r="A3" s="25"/>
      <c r="F3" s="73" t="s">
        <v>28</v>
      </c>
      <c r="H3" s="51" t="s">
        <v>43</v>
      </c>
      <c r="I3" s="26"/>
      <c r="J3" s="26"/>
      <c r="K3" s="57"/>
      <c r="L3" s="57"/>
      <c r="M3" s="26"/>
      <c r="N3" s="26"/>
      <c r="O3" s="72"/>
      <c r="P3" s="57"/>
    </row>
    <row r="4" spans="1:21" x14ac:dyDescent="0.35">
      <c r="A4" s="25"/>
      <c r="F4" s="73" t="s">
        <v>29</v>
      </c>
      <c r="H4" s="51">
        <v>710000000</v>
      </c>
      <c r="I4" s="26"/>
      <c r="J4" s="26"/>
      <c r="K4" s="57"/>
      <c r="L4" s="57"/>
      <c r="M4" s="26"/>
      <c r="N4" s="26"/>
      <c r="O4" s="72"/>
      <c r="P4" s="57"/>
    </row>
    <row r="5" spans="1:21" x14ac:dyDescent="0.35">
      <c r="A5" s="25"/>
      <c r="I5" s="26"/>
      <c r="J5" s="26"/>
      <c r="K5" s="57"/>
      <c r="L5" s="57"/>
      <c r="M5" s="26"/>
      <c r="N5" s="26"/>
      <c r="O5" s="72"/>
      <c r="P5" s="57"/>
    </row>
    <row r="6" spans="1:21" x14ac:dyDescent="0.35">
      <c r="A6" s="124" t="s">
        <v>31</v>
      </c>
      <c r="B6" s="125"/>
      <c r="C6" s="125"/>
      <c r="D6" s="125"/>
      <c r="E6" s="125"/>
      <c r="F6" s="125"/>
      <c r="H6" s="23">
        <v>200000</v>
      </c>
      <c r="I6" s="26"/>
      <c r="J6" s="26"/>
      <c r="K6" s="57"/>
      <c r="L6" s="57"/>
      <c r="M6" s="26"/>
      <c r="N6" s="26"/>
      <c r="O6" s="72"/>
      <c r="P6" s="57"/>
    </row>
    <row r="7" spans="1:21" x14ac:dyDescent="0.35">
      <c r="A7" s="124" t="s">
        <v>11</v>
      </c>
      <c r="B7" s="125"/>
      <c r="C7" s="125"/>
      <c r="D7" s="125"/>
      <c r="E7" s="125"/>
      <c r="F7" s="125"/>
      <c r="H7" s="53">
        <f>H6/3</f>
        <v>66666.666666666672</v>
      </c>
      <c r="I7" s="26"/>
      <c r="J7" s="26"/>
      <c r="K7" s="57"/>
      <c r="L7" s="57"/>
      <c r="M7" s="26"/>
      <c r="N7" s="26"/>
      <c r="O7" s="72"/>
      <c r="P7" s="57"/>
    </row>
    <row r="8" spans="1:21" x14ac:dyDescent="0.35">
      <c r="A8" s="124" t="s">
        <v>19</v>
      </c>
      <c r="B8" s="125"/>
      <c r="C8" s="125"/>
      <c r="D8" s="125"/>
      <c r="E8" s="125"/>
      <c r="F8" s="125"/>
      <c r="H8" s="53">
        <f>H6/9</f>
        <v>22222.222222222223</v>
      </c>
      <c r="I8" s="62"/>
      <c r="J8" s="62"/>
      <c r="K8" s="57"/>
      <c r="L8" s="57"/>
      <c r="M8" s="62"/>
      <c r="N8" s="62"/>
      <c r="O8" s="72"/>
      <c r="P8" s="57"/>
    </row>
    <row r="9" spans="1:21" x14ac:dyDescent="0.35">
      <c r="A9" s="126" t="s">
        <v>32</v>
      </c>
      <c r="B9" s="127"/>
      <c r="C9" s="127"/>
      <c r="D9" s="127"/>
      <c r="E9" s="127"/>
      <c r="F9" s="127"/>
      <c r="G9" s="86"/>
      <c r="H9" s="100">
        <v>221900</v>
      </c>
      <c r="I9" s="26"/>
      <c r="J9" s="26"/>
      <c r="K9" s="57"/>
      <c r="L9" s="57"/>
      <c r="M9" s="26"/>
      <c r="N9" s="26"/>
      <c r="O9" s="72"/>
      <c r="P9" s="57"/>
    </row>
    <row r="10" spans="1:21" x14ac:dyDescent="0.35">
      <c r="A10" s="25"/>
      <c r="H10" s="35"/>
      <c r="I10" s="26"/>
      <c r="J10" s="26"/>
      <c r="K10" s="57"/>
      <c r="L10" s="57"/>
      <c r="M10" s="26"/>
      <c r="N10" s="26"/>
      <c r="O10" s="72"/>
      <c r="P10" s="57"/>
    </row>
    <row r="11" spans="1:21" ht="62.15" customHeight="1" x14ac:dyDescent="0.35">
      <c r="A11" s="128" t="s">
        <v>54</v>
      </c>
      <c r="B11" s="129"/>
      <c r="C11" s="129"/>
      <c r="D11" s="129"/>
      <c r="E11" s="129"/>
      <c r="F11" s="129"/>
      <c r="G11" s="129"/>
      <c r="H11" s="129"/>
      <c r="I11" s="129"/>
      <c r="J11" s="130"/>
      <c r="K11" s="130"/>
      <c r="L11" s="130"/>
      <c r="M11" s="130"/>
      <c r="N11" s="130"/>
      <c r="O11" s="131"/>
      <c r="P11" s="57"/>
      <c r="Q11" s="135" t="s">
        <v>46</v>
      </c>
      <c r="R11" s="136"/>
      <c r="S11" s="136"/>
      <c r="T11" s="136"/>
      <c r="U11" s="136"/>
    </row>
    <row r="12" spans="1:21" ht="15.5" customHeight="1" thickBot="1" x14ac:dyDescent="0.4">
      <c r="A12" s="25"/>
      <c r="I12" s="61"/>
      <c r="J12" s="26"/>
      <c r="L12" s="61"/>
      <c r="M12" s="26"/>
      <c r="N12" s="26"/>
      <c r="O12" s="30"/>
      <c r="Q12" s="137"/>
      <c r="R12" s="137"/>
      <c r="S12" s="137"/>
      <c r="T12" s="137"/>
      <c r="U12" s="137"/>
    </row>
    <row r="13" spans="1:21" ht="43.5" x14ac:dyDescent="0.35">
      <c r="A13" s="25"/>
      <c r="B13" s="67" t="s">
        <v>1</v>
      </c>
      <c r="C13" s="67" t="s">
        <v>16</v>
      </c>
      <c r="D13" s="67" t="s">
        <v>17</v>
      </c>
      <c r="E13" s="67"/>
      <c r="F13" s="95" t="s">
        <v>45</v>
      </c>
      <c r="G13" s="67" t="s">
        <v>21</v>
      </c>
      <c r="H13" s="96" t="s">
        <v>39</v>
      </c>
      <c r="I13" s="65" t="s">
        <v>30</v>
      </c>
      <c r="J13" s="74" t="s">
        <v>35</v>
      </c>
      <c r="K13" s="87" t="s">
        <v>33</v>
      </c>
      <c r="L13" s="88" t="s">
        <v>34</v>
      </c>
      <c r="M13" s="97" t="s">
        <v>37</v>
      </c>
      <c r="N13" s="98" t="s">
        <v>55</v>
      </c>
      <c r="O13" s="99" t="s">
        <v>44</v>
      </c>
      <c r="Q13" s="105" t="s">
        <v>53</v>
      </c>
      <c r="U13" s="109"/>
    </row>
    <row r="14" spans="1:21" x14ac:dyDescent="0.35">
      <c r="A14" s="52" t="s">
        <v>12</v>
      </c>
      <c r="B14" s="24">
        <v>45425</v>
      </c>
      <c r="C14" s="68">
        <v>45443</v>
      </c>
      <c r="D14" s="69">
        <f>NETWORKDAYS(B14,C14)</f>
        <v>15</v>
      </c>
      <c r="E14" s="69">
        <f>NETWORKDAYS(DATE(YEAR(B14),MONTH(B14),1),DATE(YEAR(C14),MONTH(C14),DAY(EOMONTH(C14,0))))</f>
        <v>23</v>
      </c>
      <c r="F14" s="69">
        <f>ROUND($H$8/(NETWORKDAYS(DATE(YEAR(B14),MONTH(B14),1),DATE(YEAR(C14),MONTH(C14),DAY(EOMONTH(C14,0))))),2)</f>
        <v>966.18</v>
      </c>
      <c r="G14" s="70">
        <f>IF(((F14*D14)+(F17*D17))&gt;(H7-(H15+H16)),ROUND(F14*((H7-H15-H16)/(D14*F14+D17*F17)),4)," ")</f>
        <v>806.76250000000005</v>
      </c>
      <c r="H14" s="54">
        <f>IF(G14=" ",ROUND(D14*F14,0),ROUND(G14*D14,0))</f>
        <v>12101</v>
      </c>
      <c r="I14" s="58">
        <v>3000</v>
      </c>
      <c r="J14" s="75">
        <f>IF(ISBLANK(I14)," ",IF(G14=" ",ROUND(I14/F14,2),ROUND(I14/G14,2)))</f>
        <v>3.72</v>
      </c>
      <c r="K14" s="89">
        <f>IF(ISBLANK($H$9)," ",IF($H$8*12&gt;$H$9,ROUND(IF(ISBLANK(M14),H14,M14)*($H$9/($H$8*12)),0)," "))</f>
        <v>10070</v>
      </c>
      <c r="L14" s="90">
        <f>IF(ISBLANK($H$9)," ",IF(K14=" "," ",IF(ISBLANK(M14),H14,M14)-K14))</f>
        <v>2031</v>
      </c>
      <c r="M14" s="79"/>
      <c r="N14" s="78"/>
      <c r="O14" s="84" t="str">
        <f>IF(ISBLANK(N14)," ",ROUND(M14/N14,2))</f>
        <v xml:space="preserve"> </v>
      </c>
      <c r="Q14" s="78"/>
      <c r="R14" s="101" t="s">
        <v>12</v>
      </c>
      <c r="S14" s="101" t="s">
        <v>38</v>
      </c>
      <c r="T14" s="101" t="s">
        <v>14</v>
      </c>
      <c r="U14" s="101" t="s">
        <v>15</v>
      </c>
    </row>
    <row r="15" spans="1:21" x14ac:dyDescent="0.35">
      <c r="A15" s="52" t="s">
        <v>13</v>
      </c>
      <c r="B15" s="68">
        <v>45444</v>
      </c>
      <c r="C15" s="68">
        <v>45473</v>
      </c>
      <c r="D15" s="69">
        <f t="shared" ref="D15:D17" si="0">NETWORKDAYS(B15,C15)</f>
        <v>20</v>
      </c>
      <c r="E15" s="69">
        <f t="shared" ref="E15:E17" si="1">NETWORKDAYS(DATE(YEAR(B15),MONTH(B15),1),DATE(YEAR(C15),MONTH(C15),DAY(EOMONTH(C15,0))))</f>
        <v>20</v>
      </c>
      <c r="F15" s="69">
        <f>ROUND($H$8/(NETWORKDAYS(DATE(YEAR(B15),MONTH(B15),1),DATE(YEAR(C15),MONTH(C15),DAY(EOMONTH(C15,0))))),2)</f>
        <v>1111.1099999999999</v>
      </c>
      <c r="G15" s="70" t="str">
        <f>" "</f>
        <v xml:space="preserve"> </v>
      </c>
      <c r="H15" s="54">
        <f>ROUND(F15*D15,0)</f>
        <v>22222</v>
      </c>
      <c r="I15" s="59"/>
      <c r="J15" s="76" t="str">
        <f t="shared" ref="J15:J17" si="2">IF(ISBLANK(I15)," ",IF(G15=" ",ROUND(I15/F15,2),ROUND(I15/G15,2)))</f>
        <v xml:space="preserve"> </v>
      </c>
      <c r="K15" s="91">
        <f>IF(ISBLANK($H$9)," ",IF($H$8*12&gt;$H$9,ROUND(H15*($H$9/($H$8*12)),0)," "))</f>
        <v>18491</v>
      </c>
      <c r="L15" s="92">
        <f>IF(ISBLANK($H$9)," ",IF(K15=" "," ",H15-K15))</f>
        <v>3731</v>
      </c>
      <c r="M15" s="79"/>
      <c r="N15" s="78"/>
      <c r="O15" s="84" t="str">
        <f>IF(ISBLANK(N15)," ",ROUND(M15/N15,2))</f>
        <v xml:space="preserve"> </v>
      </c>
      <c r="Q15" s="101" t="s">
        <v>39</v>
      </c>
      <c r="R15" s="102">
        <v>12101</v>
      </c>
      <c r="S15" s="102">
        <v>22222</v>
      </c>
      <c r="T15" s="102">
        <v>22222</v>
      </c>
      <c r="U15" s="102">
        <v>10121</v>
      </c>
    </row>
    <row r="16" spans="1:21" x14ac:dyDescent="0.35">
      <c r="A16" s="52" t="s">
        <v>14</v>
      </c>
      <c r="B16" s="68">
        <v>45474</v>
      </c>
      <c r="C16" s="68">
        <v>45504</v>
      </c>
      <c r="D16" s="69">
        <f t="shared" si="0"/>
        <v>23</v>
      </c>
      <c r="E16" s="69">
        <f t="shared" si="1"/>
        <v>23</v>
      </c>
      <c r="F16" s="69">
        <f>ROUND($H$8/(NETWORKDAYS(DATE(YEAR(B16),MONTH(B16),1),DATE(YEAR(C16),MONTH(C16),DAY(EOMONTH(C16,0))))),2)</f>
        <v>966.18</v>
      </c>
      <c r="G16" s="70" t="str">
        <f>" "</f>
        <v xml:space="preserve"> </v>
      </c>
      <c r="H16" s="54">
        <f>ROUND(F16*D16,0)</f>
        <v>22222</v>
      </c>
      <c r="I16" s="59"/>
      <c r="J16" s="76" t="str">
        <f t="shared" si="2"/>
        <v xml:space="preserve"> </v>
      </c>
      <c r="K16" s="91">
        <f>IF(ISBLANK($H$9)," ",IF($H$8*12&gt;$H$9,ROUND(H16*($H$9/($H$8*12)),0)," "))</f>
        <v>18491</v>
      </c>
      <c r="L16" s="92">
        <f>IF(ISBLANK($H$9)," ",IF(K16=" "," ",H16-K16))</f>
        <v>3731</v>
      </c>
      <c r="M16" s="79"/>
      <c r="N16" s="78"/>
      <c r="O16" s="84" t="str">
        <f>IF(ISBLANK(N16)," ",ROUND(M16/N16,2))</f>
        <v xml:space="preserve"> </v>
      </c>
      <c r="Q16" s="101" t="s">
        <v>40</v>
      </c>
      <c r="R16" s="103">
        <v>45425</v>
      </c>
      <c r="S16" s="103">
        <v>45444</v>
      </c>
      <c r="T16" s="103">
        <v>45474</v>
      </c>
      <c r="U16" s="103">
        <v>45505</v>
      </c>
    </row>
    <row r="17" spans="1:21" ht="15" thickBot="1" x14ac:dyDescent="0.4">
      <c r="A17" s="52" t="s">
        <v>15</v>
      </c>
      <c r="B17" s="68">
        <v>45505</v>
      </c>
      <c r="C17" s="24">
        <v>45520</v>
      </c>
      <c r="D17" s="69">
        <f t="shared" si="0"/>
        <v>12</v>
      </c>
      <c r="E17" s="69">
        <f t="shared" si="1"/>
        <v>22</v>
      </c>
      <c r="F17" s="69">
        <f>ROUND($H$8/(NETWORKDAYS(DATE(YEAR(B17),MONTH(B17),1),DATE(YEAR(C17),MONTH(C17),DAY(EOMONTH(C17,0))))),2)</f>
        <v>1010.1</v>
      </c>
      <c r="G17" s="70">
        <f>IF(((F14*D14)+(F17*D17))&gt;(H7-(H15+H16)),ROUND(F17*((H7-H15-H16)/(D14*F14+D17*F17)),4)," ")</f>
        <v>843.43579999999997</v>
      </c>
      <c r="H17" s="55">
        <f>IF(G17=" ",ROUND(D17*F17,0),ROUND(G17*D17,0))</f>
        <v>10121</v>
      </c>
      <c r="I17" s="60"/>
      <c r="J17" s="77" t="str">
        <f t="shared" si="2"/>
        <v xml:space="preserve"> </v>
      </c>
      <c r="K17" s="93">
        <f>IF(ISBLANK($H$9)," ",IF($H$8*12&gt;$H$9,ROUND(H17*($H$9/($H$8*12)),0)," "))</f>
        <v>8422</v>
      </c>
      <c r="L17" s="94">
        <f>IF(ISBLANK($H$9)," ",IF(K17=" "," ",H17-K17))</f>
        <v>1699</v>
      </c>
      <c r="M17" s="80"/>
      <c r="N17" s="83"/>
      <c r="O17" s="85" t="str">
        <f>IF(ISBLANK(N17)," ",ROUND(M17/N17,2))</f>
        <v xml:space="preserve"> </v>
      </c>
      <c r="Q17" s="101" t="s">
        <v>41</v>
      </c>
      <c r="R17" s="103">
        <v>45443</v>
      </c>
      <c r="S17" s="103">
        <v>45473</v>
      </c>
      <c r="T17" s="103">
        <v>45504</v>
      </c>
      <c r="U17" s="103">
        <v>45520</v>
      </c>
    </row>
    <row r="18" spans="1:21" ht="30.65" customHeight="1" x14ac:dyDescent="0.35">
      <c r="A18" s="25"/>
      <c r="H18" s="35"/>
      <c r="I18" s="63"/>
      <c r="J18" s="26"/>
      <c r="L18" s="63"/>
      <c r="M18" s="26"/>
      <c r="N18" s="26"/>
      <c r="O18" s="30"/>
      <c r="Q18" s="101" t="s">
        <v>18</v>
      </c>
      <c r="R18" s="104">
        <v>806.76</v>
      </c>
      <c r="S18" s="104">
        <v>1111.1099999999999</v>
      </c>
      <c r="T18" s="104">
        <v>966.18</v>
      </c>
      <c r="U18" s="104">
        <v>843.44</v>
      </c>
    </row>
    <row r="19" spans="1:21" x14ac:dyDescent="0.35">
      <c r="A19" s="52" t="s">
        <v>5</v>
      </c>
      <c r="H19" s="35">
        <f>SUM(IF(OR(ISBLANK(M14),M14=0),H14,M14),IF(OR(ISBLANK(M15),M15=0),H15,M15),IF(OR(ISBLANK(M16),M16=0),H16,M16),IF(OR(ISBLANK(M17),M17=0),H17,M17))</f>
        <v>66666</v>
      </c>
      <c r="I19" s="26"/>
      <c r="J19" s="26"/>
      <c r="M19" s="26"/>
      <c r="N19" s="26"/>
      <c r="O19" s="30"/>
      <c r="Q19" s="101" t="s">
        <v>42</v>
      </c>
      <c r="R19" s="78">
        <v>15</v>
      </c>
      <c r="S19" s="78">
        <v>20</v>
      </c>
      <c r="T19" s="78">
        <v>23</v>
      </c>
      <c r="U19" s="78">
        <v>12</v>
      </c>
    </row>
    <row r="20" spans="1:21" x14ac:dyDescent="0.35">
      <c r="A20" s="25"/>
      <c r="H20" s="35"/>
      <c r="I20" s="26"/>
      <c r="J20" s="26"/>
      <c r="M20" s="26"/>
      <c r="N20" s="26"/>
      <c r="O20" s="30"/>
      <c r="Q20" s="101" t="s">
        <v>48</v>
      </c>
      <c r="R20" s="78" t="s">
        <v>49</v>
      </c>
      <c r="S20" s="78" t="s">
        <v>49</v>
      </c>
      <c r="T20" s="78" t="s">
        <v>49</v>
      </c>
      <c r="U20" s="78" t="s">
        <v>49</v>
      </c>
    </row>
    <row r="21" spans="1:21" x14ac:dyDescent="0.35">
      <c r="A21" s="52" t="s">
        <v>20</v>
      </c>
      <c r="H21" s="35">
        <f>H7</f>
        <v>66666.666666666672</v>
      </c>
      <c r="I21" s="26"/>
      <c r="J21" s="26"/>
      <c r="M21" s="26"/>
      <c r="N21" s="26"/>
      <c r="O21" s="30"/>
      <c r="Q21" s="142" t="s">
        <v>58</v>
      </c>
      <c r="R21" s="145" t="s">
        <v>59</v>
      </c>
      <c r="S21" s="145" t="s">
        <v>59</v>
      </c>
      <c r="T21" s="145" t="s">
        <v>59</v>
      </c>
      <c r="U21" s="145" t="s">
        <v>59</v>
      </c>
    </row>
    <row r="22" spans="1:21" x14ac:dyDescent="0.35">
      <c r="A22" s="25"/>
      <c r="B22" s="71"/>
      <c r="H22" s="35"/>
      <c r="I22" s="26"/>
      <c r="J22" s="26"/>
      <c r="M22" s="26"/>
      <c r="N22" s="26"/>
      <c r="O22" s="30"/>
      <c r="Q22" s="143"/>
      <c r="R22" s="143"/>
      <c r="S22" s="143"/>
      <c r="T22" s="143"/>
      <c r="U22" s="143"/>
    </row>
    <row r="23" spans="1:21" ht="15" customHeight="1" thickBot="1" x14ac:dyDescent="0.4">
      <c r="A23" s="36" t="s">
        <v>57</v>
      </c>
      <c r="B23" s="37"/>
      <c r="C23" s="37"/>
      <c r="D23" s="38"/>
      <c r="E23" s="38"/>
      <c r="F23" s="38"/>
      <c r="G23" s="38"/>
      <c r="H23" s="39"/>
      <c r="I23" s="37"/>
      <c r="J23" s="37"/>
      <c r="K23" s="37"/>
      <c r="L23" s="37"/>
      <c r="M23" s="37"/>
      <c r="N23" s="37"/>
      <c r="O23" s="40"/>
      <c r="Q23" s="143"/>
      <c r="R23" s="143"/>
      <c r="S23" s="143"/>
      <c r="T23" s="143"/>
      <c r="U23" s="143"/>
    </row>
    <row r="24" spans="1:21" x14ac:dyDescent="0.35">
      <c r="A24" s="25"/>
      <c r="I24" s="64"/>
      <c r="L24" s="48"/>
      <c r="M24" s="64"/>
      <c r="O24" s="30"/>
      <c r="Q24" s="144"/>
      <c r="R24" s="144"/>
      <c r="S24" s="144"/>
      <c r="T24" s="144"/>
      <c r="U24" s="144"/>
    </row>
    <row r="25" spans="1:21" x14ac:dyDescent="0.35">
      <c r="A25" s="29" t="s">
        <v>22</v>
      </c>
      <c r="D25" s="26"/>
      <c r="E25" s="26"/>
      <c r="F25" s="26"/>
      <c r="G25" s="26"/>
      <c r="H25" s="26"/>
      <c r="I25" s="26"/>
      <c r="J25" s="26"/>
      <c r="M25" s="26"/>
      <c r="N25" s="26"/>
      <c r="O25" s="30"/>
      <c r="Q25" s="101" t="s">
        <v>60</v>
      </c>
      <c r="R25" s="78"/>
      <c r="S25" s="78"/>
      <c r="T25" s="78"/>
      <c r="U25" s="78"/>
    </row>
    <row r="26" spans="1:21" ht="15.5" customHeight="1" x14ac:dyDescent="0.35">
      <c r="A26" s="29"/>
      <c r="D26" s="26"/>
      <c r="E26" s="26"/>
      <c r="F26" s="26"/>
      <c r="G26" s="26"/>
      <c r="H26" s="26"/>
      <c r="I26" s="26"/>
      <c r="J26" s="26"/>
      <c r="M26" s="26"/>
      <c r="N26" s="26"/>
      <c r="O26" s="30"/>
      <c r="Q26" s="138" t="s">
        <v>61</v>
      </c>
      <c r="R26" s="141"/>
      <c r="S26" s="141"/>
      <c r="T26" s="141"/>
      <c r="U26" s="141"/>
    </row>
    <row r="27" spans="1:21" x14ac:dyDescent="0.35">
      <c r="A27" s="31" t="s">
        <v>23</v>
      </c>
      <c r="D27" s="26"/>
      <c r="E27" s="26"/>
      <c r="F27" s="26"/>
      <c r="G27" s="26"/>
      <c r="H27" s="26"/>
      <c r="I27" s="26"/>
      <c r="J27" s="26"/>
      <c r="M27" s="26"/>
      <c r="N27" s="26"/>
      <c r="O27" s="30"/>
      <c r="Q27" s="139"/>
      <c r="R27" s="140"/>
      <c r="S27" s="140"/>
      <c r="T27" s="140"/>
      <c r="U27" s="140"/>
    </row>
    <row r="28" spans="1:21" x14ac:dyDescent="0.35">
      <c r="A28" s="31"/>
      <c r="D28" s="26"/>
      <c r="E28" s="26"/>
      <c r="F28" s="26"/>
      <c r="G28" s="26"/>
      <c r="H28" s="26"/>
      <c r="I28" s="26"/>
      <c r="J28" s="26"/>
      <c r="M28" s="26"/>
      <c r="N28" s="26"/>
      <c r="O28" s="30"/>
      <c r="Q28" s="139"/>
      <c r="R28" s="140"/>
      <c r="S28" s="140"/>
      <c r="T28" s="140"/>
      <c r="U28" s="140"/>
    </row>
    <row r="29" spans="1:21" x14ac:dyDescent="0.35">
      <c r="A29" s="31" t="s">
        <v>24</v>
      </c>
      <c r="D29" s="26"/>
      <c r="E29" s="26"/>
      <c r="F29" s="26"/>
      <c r="G29" s="26"/>
      <c r="H29" s="26"/>
      <c r="I29" s="26"/>
      <c r="J29" s="26"/>
      <c r="M29" s="26"/>
      <c r="N29" s="26"/>
      <c r="O29" s="30"/>
      <c r="Q29" s="139"/>
      <c r="R29" s="140"/>
      <c r="S29" s="140"/>
      <c r="T29" s="140"/>
      <c r="U29" s="140"/>
    </row>
    <row r="30" spans="1:21" x14ac:dyDescent="0.35">
      <c r="A30" s="31"/>
      <c r="B30" s="26" t="s">
        <v>25</v>
      </c>
      <c r="D30" s="26"/>
      <c r="E30" s="26"/>
      <c r="F30" s="26"/>
      <c r="G30" s="26"/>
      <c r="H30" s="26"/>
      <c r="I30" s="26"/>
      <c r="J30" s="26"/>
      <c r="M30" s="26"/>
      <c r="N30" s="26"/>
      <c r="O30" s="30"/>
      <c r="Q30" s="140"/>
      <c r="R30" s="140"/>
      <c r="S30" s="140"/>
      <c r="T30" s="140"/>
      <c r="U30" s="140"/>
    </row>
    <row r="31" spans="1:21" x14ac:dyDescent="0.35">
      <c r="A31" s="31"/>
      <c r="D31" s="26"/>
      <c r="E31" s="26"/>
      <c r="F31" s="26"/>
      <c r="G31" s="26"/>
      <c r="H31" s="26"/>
      <c r="I31" s="26"/>
      <c r="J31" s="26"/>
      <c r="M31" s="26"/>
      <c r="N31" s="26"/>
      <c r="O31" s="30"/>
      <c r="Q31" s="146" t="s">
        <v>62</v>
      </c>
      <c r="R31" s="141"/>
      <c r="S31" s="141"/>
      <c r="T31" s="141"/>
      <c r="U31" s="141"/>
    </row>
    <row r="32" spans="1:21" x14ac:dyDescent="0.35">
      <c r="A32" s="32" t="s">
        <v>26</v>
      </c>
      <c r="D32" s="26"/>
      <c r="E32" s="26"/>
      <c r="F32" s="26"/>
      <c r="G32" s="26"/>
      <c r="H32" s="26"/>
      <c r="I32" s="26"/>
      <c r="J32" s="26"/>
      <c r="M32" s="26"/>
      <c r="N32" s="26"/>
      <c r="O32" s="30"/>
      <c r="Q32" s="140"/>
      <c r="R32" s="140"/>
      <c r="S32" s="140"/>
      <c r="T32" s="140"/>
      <c r="U32" s="140"/>
    </row>
    <row r="33" spans="1:21" x14ac:dyDescent="0.35">
      <c r="A33" s="32"/>
      <c r="D33" s="26"/>
      <c r="E33" s="26"/>
      <c r="F33" s="26"/>
      <c r="G33" s="26"/>
      <c r="H33" s="26"/>
      <c r="I33" s="26"/>
      <c r="J33" s="26"/>
      <c r="M33" s="26"/>
      <c r="N33" s="26"/>
      <c r="O33" s="30"/>
      <c r="Q33" s="140"/>
      <c r="R33" s="140"/>
      <c r="S33" s="140"/>
      <c r="T33" s="140"/>
      <c r="U33" s="140"/>
    </row>
    <row r="34" spans="1:21" x14ac:dyDescent="0.35">
      <c r="A34" s="25" t="s">
        <v>27</v>
      </c>
      <c r="D34" s="26"/>
      <c r="E34" s="26"/>
      <c r="F34" s="26"/>
      <c r="G34" s="26"/>
      <c r="H34" s="26"/>
      <c r="I34" s="26"/>
      <c r="J34" s="26"/>
      <c r="M34" s="26"/>
      <c r="N34" s="26"/>
      <c r="O34" s="30"/>
      <c r="Q34" s="138" t="s">
        <v>63</v>
      </c>
      <c r="R34" s="141"/>
      <c r="S34" s="141"/>
      <c r="T34" s="141"/>
      <c r="U34" s="141"/>
    </row>
    <row r="35" spans="1:21" x14ac:dyDescent="0.35">
      <c r="A35" s="25"/>
      <c r="D35" s="26"/>
      <c r="E35" s="26"/>
      <c r="F35" s="26"/>
      <c r="G35" s="26"/>
      <c r="H35" s="26"/>
      <c r="I35" s="26"/>
      <c r="J35" s="26"/>
      <c r="M35" s="26"/>
      <c r="N35" s="26"/>
      <c r="O35" s="30"/>
      <c r="Q35" s="140"/>
      <c r="R35" s="141"/>
      <c r="S35" s="141"/>
      <c r="T35" s="141"/>
      <c r="U35" s="141"/>
    </row>
    <row r="36" spans="1:21" x14ac:dyDescent="0.35">
      <c r="A36" s="25" t="s">
        <v>36</v>
      </c>
      <c r="D36" s="26"/>
      <c r="E36" s="26"/>
      <c r="F36" s="26"/>
      <c r="G36" s="26"/>
      <c r="H36" s="26"/>
      <c r="I36" s="26"/>
      <c r="J36" s="26"/>
      <c r="M36" s="26"/>
      <c r="N36" s="26"/>
      <c r="O36" s="30"/>
      <c r="Q36" s="140"/>
      <c r="R36" s="141"/>
      <c r="S36" s="141"/>
      <c r="T36" s="141"/>
      <c r="U36" s="141"/>
    </row>
    <row r="37" spans="1:21" x14ac:dyDescent="0.35">
      <c r="A37" s="25"/>
      <c r="D37" s="26"/>
      <c r="E37" s="26"/>
      <c r="F37" s="26"/>
      <c r="G37" s="26"/>
      <c r="H37" s="26"/>
      <c r="I37" s="26"/>
      <c r="J37" s="26"/>
      <c r="M37" s="26"/>
      <c r="N37" s="26"/>
      <c r="O37" s="30"/>
      <c r="Q37" s="140"/>
      <c r="R37" s="141"/>
      <c r="S37" s="141"/>
      <c r="T37" s="141"/>
      <c r="U37" s="141"/>
    </row>
    <row r="38" spans="1:21" ht="15" thickBot="1" x14ac:dyDescent="0.4">
      <c r="A38" s="33" t="s">
        <v>64</v>
      </c>
      <c r="B38" s="34"/>
      <c r="C38" s="34"/>
      <c r="D38" s="34"/>
      <c r="E38" s="34"/>
      <c r="F38" s="34"/>
      <c r="G38" s="34"/>
      <c r="H38" s="34"/>
      <c r="I38" s="34"/>
      <c r="J38" s="34"/>
      <c r="K38" s="37"/>
      <c r="L38" s="37"/>
      <c r="M38" s="34"/>
      <c r="N38" s="34"/>
      <c r="O38" s="40"/>
    </row>
  </sheetData>
  <mergeCells count="26">
    <mergeCell ref="Q34:Q37"/>
    <mergeCell ref="R34:R37"/>
    <mergeCell ref="S34:S37"/>
    <mergeCell ref="T34:T37"/>
    <mergeCell ref="U34:U37"/>
    <mergeCell ref="Q31:Q33"/>
    <mergeCell ref="R31:R33"/>
    <mergeCell ref="S31:S33"/>
    <mergeCell ref="T31:T33"/>
    <mergeCell ref="U31:U33"/>
    <mergeCell ref="Q11:U12"/>
    <mergeCell ref="Q26:Q30"/>
    <mergeCell ref="R26:R30"/>
    <mergeCell ref="S26:S30"/>
    <mergeCell ref="T26:T30"/>
    <mergeCell ref="U26:U30"/>
    <mergeCell ref="Q21:Q24"/>
    <mergeCell ref="R21:R24"/>
    <mergeCell ref="S21:S24"/>
    <mergeCell ref="T21:T24"/>
    <mergeCell ref="U21:U24"/>
    <mergeCell ref="A6:F6"/>
    <mergeCell ref="A7:F7"/>
    <mergeCell ref="A8:F8"/>
    <mergeCell ref="A9:F9"/>
    <mergeCell ref="A11:O11"/>
  </mergeCells>
  <conditionalFormatting sqref="K13:L17">
    <cfRule type="expression" dxfId="0" priority="1">
      <formula>($H$9)</formula>
    </cfRule>
  </conditionalFormatting>
  <dataValidations count="2">
    <dataValidation type="custom" allowBlank="1" showInputMessage="1" showErrorMessage="1" error="Please enter a date equal to or later than the Monday after commencement (5/13/2024)" sqref="B14" xr:uid="{9BC8462F-F58F-46F5-9916-E96ECCBA8D05}">
      <formula1>B14&gt;DATE(2024,5,12)</formula1>
    </dataValidation>
    <dataValidation type="custom" allowBlank="1" showInputMessage="1" showErrorMessage="1" error="Please enter a date before fall classes begin." sqref="C17" xr:uid="{74118DA4-D7B2-4311-A396-4C937227F354}">
      <formula1>C17&lt;DATE(2024,8,17)</formula1>
    </dataValidation>
  </dataValidations>
  <pageMargins left="0.7" right="0.7" top="0.75" bottom="0.75" header="0.3" footer="0.3"/>
  <pageSetup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Grad</vt:lpstr>
      <vt:lpstr>Summer Salary Calculator</vt:lpstr>
      <vt:lpstr>Ex 1 Max Pay - Max Daily Rate</vt:lpstr>
      <vt:lpstr>Ex 2 Pay 1 Month-Max Daily Rate</vt:lpstr>
      <vt:lpstr>Ex 3 Less Than Max Work Days</vt:lpstr>
      <vt:lpstr>Ex 4 Less Than Max Daily Rate</vt:lpstr>
      <vt:lpstr>Ex 5 Cost Share</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Walter M Jr</dc:creator>
  <cp:lastModifiedBy>Glasgow, Sharon</cp:lastModifiedBy>
  <cp:lastPrinted>2024-05-30T15:30:45Z</cp:lastPrinted>
  <dcterms:created xsi:type="dcterms:W3CDTF">2023-09-21T14:35:22Z</dcterms:created>
  <dcterms:modified xsi:type="dcterms:W3CDTF">2024-06-05T10:21:36Z</dcterms:modified>
</cp:coreProperties>
</file>